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tapovy\Downloads\"/>
    </mc:Choice>
  </mc:AlternateContent>
  <bookViews>
    <workbookView xWindow="-120" yWindow="-120" windowWidth="29040" windowHeight="15840"/>
  </bookViews>
  <sheets>
    <sheet name="Расчеты заземления" sheetId="6" r:id="rId1"/>
    <sheet name="Вывод на печать" sheetId="11" r:id="rId2"/>
    <sheet name="Лист1" sheetId="12" state="hidden" r:id="rId3"/>
    <sheet name="Грунты" sheetId="3" state="hidden" r:id="rId4"/>
    <sheet name="Климатические зоны" sheetId="8" state="hidden" r:id="rId5"/>
    <sheet name="Коэф.исп." sheetId="9" state="hidden" r:id="rId6"/>
  </sheets>
  <externalReferences>
    <externalReference r:id="rId7"/>
    <externalReference r:id="rId8"/>
  </externalReferences>
  <definedNames>
    <definedName name="AnDiscount">0.945</definedName>
    <definedName name="b">'Расчеты заземления'!#REF!</definedName>
    <definedName name="d">'Расчеты заземления'!$C$5</definedName>
    <definedName name="Delivery">1.15</definedName>
    <definedName name="H">'Расчеты заземления'!$C$9</definedName>
    <definedName name="Icmax">[1]ТКЗ!$E$6</definedName>
    <definedName name="Icmin">[1]ТКЗ!$F$6</definedName>
    <definedName name="Iемк.кл">#REF!</definedName>
    <definedName name="Iзз0">#REF!</definedName>
    <definedName name="Iозз">#REF!</definedName>
    <definedName name="L1_L">'Расчеты заземления'!#REF!</definedName>
    <definedName name="Lgor2">'Расчеты заземления'!#REF!</definedName>
    <definedName name="lver">'Расчеты заземления'!$C$4</definedName>
    <definedName name="lver1">'Расчеты заземления'!$C$4</definedName>
    <definedName name="n">'Расчеты заземления'!$C$13</definedName>
    <definedName name="№ПС">#REF!</definedName>
    <definedName name="ProfitLucent">1.65</definedName>
    <definedName name="pв">'Расчеты заземления'!#REF!</definedName>
    <definedName name="pг">'Расчеты заземления'!#REF!</definedName>
    <definedName name="Raschet_Rz">'Вывод на печать'!#REF!</definedName>
    <definedName name="Raschet_Rznorm">#REF!</definedName>
    <definedName name="Rв">'Расчеты заземления'!#REF!</definedName>
    <definedName name="Rг">'Расчеты заземления'!#REF!</definedName>
    <definedName name="Rд">'Расчеты заземления'!$C$18</definedName>
    <definedName name="Rд.расч">#REF!</definedName>
    <definedName name="Rз">'Расчеты заземления'!#REF!</definedName>
    <definedName name="t">'Расчеты заземления'!$C$15</definedName>
    <definedName name="Tsr">'Расчеты заземления'!$C$16</definedName>
    <definedName name="Uс">[1]ТКЗ!$D$6</definedName>
    <definedName name="Xcmax">[1]ТКЗ!$G$6</definedName>
    <definedName name="Xcmin">[1]ТКЗ!$H$6</definedName>
    <definedName name="zona">'Расчеты заземления'!$C$6</definedName>
    <definedName name="ηв">'Расчеты заземления'!#REF!</definedName>
    <definedName name="ηг">'Расчеты заземления'!#REF!</definedName>
    <definedName name="ρ1">'Расчеты заземления'!$C$23</definedName>
    <definedName name="ρ2">'Расчеты заземления'!$C$24</definedName>
    <definedName name="ψ1">'Расчеты заземления'!#REF!</definedName>
    <definedName name="ψ2">'Расчеты заземления'!#REF!</definedName>
    <definedName name="Грунт">[2]Грунт!$A$2:$A$24</definedName>
    <definedName name="Сопротивление">Grunt[Сопротивление]</definedName>
  </definedNames>
  <calcPr calcId="152511"/>
</workbook>
</file>

<file path=xl/calcChain.xml><?xml version="1.0" encoding="utf-8"?>
<calcChain xmlns="http://schemas.openxmlformats.org/spreadsheetml/2006/main">
  <c r="D11" i="11" l="1"/>
  <c r="O6" i="11"/>
  <c r="N6" i="11"/>
  <c r="M6" i="11"/>
  <c r="L6" i="11"/>
  <c r="K6" i="11"/>
  <c r="J6" i="11"/>
  <c r="I6" i="11"/>
  <c r="H6" i="11"/>
  <c r="G6" i="11"/>
  <c r="F6" i="11"/>
  <c r="C6" i="11"/>
  <c r="B6" i="11"/>
  <c r="T6" i="9" l="1"/>
  <c r="T7" i="9"/>
  <c r="T8" i="9"/>
  <c r="T9" i="9"/>
  <c r="T10" i="9"/>
  <c r="T11" i="9"/>
  <c r="U6" i="9"/>
  <c r="C24" i="6"/>
  <c r="E6" i="11" s="1"/>
  <c r="C23" i="6"/>
  <c r="D6" i="11" s="1"/>
  <c r="C20" i="6"/>
  <c r="C19" i="6"/>
  <c r="C16" i="6"/>
  <c r="E4" i="6" l="1"/>
  <c r="E11" i="11" s="1"/>
  <c r="F4" i="6"/>
  <c r="F11" i="11" s="1"/>
  <c r="G4" i="6" l="1"/>
  <c r="G11" i="11" s="1"/>
  <c r="H4" i="6"/>
  <c r="H11" i="11" s="1"/>
  <c r="U8" i="9" l="1"/>
  <c r="U7" i="9"/>
  <c r="U11" i="9"/>
  <c r="U9" i="9"/>
  <c r="U10" i="9"/>
  <c r="Q7" i="9"/>
  <c r="Q8" i="9"/>
  <c r="Q9" i="9"/>
  <c r="Q10" i="9"/>
  <c r="Q11" i="9"/>
  <c r="Q6" i="9"/>
  <c r="C22" i="6" l="1"/>
  <c r="C11" i="11" s="1"/>
  <c r="C21" i="6"/>
  <c r="B11" i="11" s="1"/>
  <c r="I4" i="6" l="1"/>
  <c r="I11" i="11" s="1"/>
  <c r="G5" i="6" l="1"/>
</calcChain>
</file>

<file path=xl/comments1.xml><?xml version="1.0" encoding="utf-8"?>
<comments xmlns="http://schemas.openxmlformats.org/spreadsheetml/2006/main">
  <authors>
    <author>Ahmetgareev, Fanis</author>
    <author>Лазуренко Александр Сергеевич</author>
    <author>Кислицына Екатерина Сергеевна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Вводимые данные</t>
        </r>
      </text>
    </comment>
    <comment ref="A5" authorId="1" shapeId="0">
      <text>
        <r>
          <rPr>
            <sz val="9"/>
            <color indexed="81"/>
            <rFont val="Tahoma"/>
            <family val="2"/>
            <charset val="204"/>
          </rPr>
          <t>Для уголка принять d=0,95*b, где b - ширина полки уголка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Вводимые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Выбрать из выпадающего списка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Выбрать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Выбрать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Вводимые данные пользователем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Вводимые данные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Выбрать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Вводимые данные пользователем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Выбрать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требуемое сопротивление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9" authorId="2" shapeId="0">
      <text>
        <r>
          <rPr>
            <sz val="9"/>
            <color indexed="81"/>
            <rFont val="Tahoma"/>
            <family val="2"/>
            <charset val="204"/>
          </rPr>
          <t>значения ψ (таблица П4, Электробезопасность 2012 г. Долин)приняты для вертикального электрода длиной 3м и для нормально влажности земли, для вертикального заземлителя длиной 5м необходимо ввести со справочных данных</t>
        </r>
      </text>
    </comment>
    <comment ref="C20" authorId="2" shapeId="0">
      <text>
        <r>
          <rPr>
            <sz val="9"/>
            <color indexed="81"/>
            <rFont val="Tahoma"/>
            <family val="2"/>
            <charset val="204"/>
          </rPr>
          <t xml:space="preserve">значения ψ(таблица П5, Электробезопасность 2012 г. Долин) приняты для горизонтального электрода  для нормальной влажности земли </t>
        </r>
      </text>
    </comment>
  </commentList>
</comments>
</file>

<file path=xl/sharedStrings.xml><?xml version="1.0" encoding="utf-8"?>
<sst xmlns="http://schemas.openxmlformats.org/spreadsheetml/2006/main" count="233" uniqueCount="201">
  <si>
    <t xml:space="preserve">Длина вертикального стержневого электрода </t>
  </si>
  <si>
    <t>d,м</t>
  </si>
  <si>
    <t xml:space="preserve">Длина горизонтального полосового элетрода </t>
  </si>
  <si>
    <t>Глубина траншеи</t>
  </si>
  <si>
    <t>Глубина заложения вертикального электрода</t>
  </si>
  <si>
    <t>Коэффициент сезонности для вертикального электрода</t>
  </si>
  <si>
    <t>ψ1=</t>
  </si>
  <si>
    <t>ψ2=</t>
  </si>
  <si>
    <t>Коэффициент сезонности для горизонтального электрода</t>
  </si>
  <si>
    <t>Глубина заложения горизонтального электрода</t>
  </si>
  <si>
    <t>Коэффициент использования вертикального электрода</t>
  </si>
  <si>
    <t>ηв=</t>
  </si>
  <si>
    <t>ηг=</t>
  </si>
  <si>
    <t>Коэффициент использования горизонтального электрода</t>
  </si>
  <si>
    <t>Число вертикальных заземлителей</t>
  </si>
  <si>
    <t>ηв</t>
  </si>
  <si>
    <t>ηг</t>
  </si>
  <si>
    <t>Отношение расстояний между заземлителями к их длине</t>
  </si>
  <si>
    <t>Допустимое сопротивление растеканию тока</t>
  </si>
  <si>
    <t>Удельное сопротивление первого слоя грунта</t>
  </si>
  <si>
    <t>Удельное сопротивление второго слоя грунта</t>
  </si>
  <si>
    <t>Тип грунта первого слоя</t>
  </si>
  <si>
    <t>Тип грунта второго слоя</t>
  </si>
  <si>
    <t xml:space="preserve">СП 131.13330.2012 Строительная климатология. Актуализированная редакция СНиП 23-01-99 </t>
  </si>
  <si>
    <t>Данные, характеризующие климатические зоны и тип</t>
  </si>
  <si>
    <t>применяемых заземляющих  электродов</t>
  </si>
  <si>
    <t>I</t>
  </si>
  <si>
    <t>II</t>
  </si>
  <si>
    <t>III</t>
  </si>
  <si>
    <t>IV</t>
  </si>
  <si>
    <t>Климатические признаки зон:</t>
  </si>
  <si>
    <t>Средняя многолетняя температура низшая (январь) град.С</t>
  </si>
  <si>
    <t>-20...-15</t>
  </si>
  <si>
    <t>-14…-10</t>
  </si>
  <si>
    <t>-10…0</t>
  </si>
  <si>
    <t>0…+5</t>
  </si>
  <si>
    <t>Средняя многолетняя температура высшая (июнь) град.С</t>
  </si>
  <si>
    <t>+16…+18</t>
  </si>
  <si>
    <t>+18…+22</t>
  </si>
  <si>
    <t>+22…+24</t>
  </si>
  <si>
    <t>+24…+26</t>
  </si>
  <si>
    <t>Среднее кол-во осадков,мм</t>
  </si>
  <si>
    <t>~400</t>
  </si>
  <si>
    <t>~500</t>
  </si>
  <si>
    <t>~300-500</t>
  </si>
  <si>
    <t>Продолжительность замерзания воды, дни</t>
  </si>
  <si>
    <t>~150</t>
  </si>
  <si>
    <t>~100</t>
  </si>
  <si>
    <t>Климатические зоны СНГ</t>
  </si>
  <si>
    <t>Коэфф. при числе труб (уголков) в контуре</t>
  </si>
  <si>
    <t>Коэфф. при числе труб (уголков) в ряду</t>
  </si>
  <si>
    <t>Коэф. при расстоянии межде параллельными полосами, м</t>
  </si>
  <si>
    <t>Число полос</t>
  </si>
  <si>
    <t>Длина полосы,м</t>
  </si>
  <si>
    <t>Коэф</t>
  </si>
  <si>
    <t>Число труб (уголков)</t>
  </si>
  <si>
    <t>без учета влияния полосы связи</t>
  </si>
  <si>
    <t>L1/L</t>
  </si>
  <si>
    <t>Столбец1</t>
  </si>
  <si>
    <t>Столбец2</t>
  </si>
  <si>
    <t>Столбец3</t>
  </si>
  <si>
    <t>Столбец4</t>
  </si>
  <si>
    <t>Столбец5</t>
  </si>
  <si>
    <r>
      <t xml:space="preserve">Коэффициенты использования ηг  горизонтального полосового элекрода, соединяющего вертикальные электроды (для вертикальных  заземлителей </t>
    </r>
    <r>
      <rPr>
        <sz val="10"/>
        <color indexed="10"/>
        <rFont val="Arial"/>
        <family val="2"/>
      </rPr>
      <t>в ряд)</t>
    </r>
  </si>
  <si>
    <r>
      <t xml:space="preserve">Коэффициенты использования ηг  горизонтального полосового элекрода, соединяющего вертикальные электроды (для вертикальных  заземлителей </t>
    </r>
    <r>
      <rPr>
        <sz val="10"/>
        <color indexed="10"/>
        <rFont val="Arial"/>
        <family val="2"/>
      </rPr>
      <t>по контуру)</t>
    </r>
  </si>
  <si>
    <t>Коэффициенты использования ηг параллельно уложенных горизонтальных полосовых электродов группового заземлителя (полоса широиной 20-40 мм, глубина заложения 0,3-0,8м)</t>
  </si>
  <si>
    <r>
      <t xml:space="preserve">Коэф. Использования ηв  для многоэлектродных заземлителей, состоящих из вертикальных стержней </t>
    </r>
    <r>
      <rPr>
        <sz val="10"/>
        <color indexed="10"/>
        <rFont val="Arial"/>
        <family val="2"/>
      </rPr>
      <t>в ряд</t>
    </r>
  </si>
  <si>
    <r>
      <t xml:space="preserve">Коэф. Использования ηв для многоэлектродных заземлителей, состоящих из вертикальных стержней </t>
    </r>
    <r>
      <rPr>
        <sz val="10"/>
        <color indexed="10"/>
        <rFont val="Arial"/>
        <family val="2"/>
      </rPr>
      <t>по контуру</t>
    </r>
  </si>
  <si>
    <t>ряд</t>
  </si>
  <si>
    <t>контур</t>
  </si>
  <si>
    <t>расположение</t>
  </si>
  <si>
    <t>Ключ</t>
  </si>
  <si>
    <t>Размещение вертикальных заземлителей</t>
  </si>
  <si>
    <t>Удельное сопротивление грунта для вертикального заземлителя</t>
  </si>
  <si>
    <t>Удельное сопротивление грунта для горизонтального заземлителя</t>
  </si>
  <si>
    <t>Исходные данные</t>
  </si>
  <si>
    <t>Rд, Ом</t>
  </si>
  <si>
    <t>Значение</t>
  </si>
  <si>
    <t>Параметры вертикальных и горизонтальных заземлителей</t>
  </si>
  <si>
    <t>ρ1, Ом*м</t>
  </si>
  <si>
    <t>ρ2, Ом*м</t>
  </si>
  <si>
    <t>Диаметр стержня</t>
  </si>
  <si>
    <t>d, м</t>
  </si>
  <si>
    <t>L1, м</t>
  </si>
  <si>
    <t>Наименование</t>
  </si>
  <si>
    <t>Н, м</t>
  </si>
  <si>
    <t>L2, м</t>
  </si>
  <si>
    <t>b,м</t>
  </si>
  <si>
    <t>ψ1</t>
  </si>
  <si>
    <t>ψ2</t>
  </si>
  <si>
    <t>t, м</t>
  </si>
  <si>
    <t>T, м</t>
  </si>
  <si>
    <t>Расчетные значения</t>
  </si>
  <si>
    <t>Климатическая зона</t>
  </si>
  <si>
    <t>Отношение расстояния между заземлителями к их длине</t>
  </si>
  <si>
    <t>L1/Lм</t>
  </si>
  <si>
    <t>Cопротивление заземлителя</t>
  </si>
  <si>
    <t>Cопротивление горизонтального полосового электрода</t>
  </si>
  <si>
    <t>Cопротивление одиночного вертикального заземлителя</t>
  </si>
  <si>
    <t>Коэффициент использования горизонтальных заземлителей</t>
  </si>
  <si>
    <t>Коэффициент использования вертикальных заземлителей</t>
  </si>
  <si>
    <t>Длина горизонтального заземлителя</t>
  </si>
  <si>
    <t>Ширина стальной полосы</t>
  </si>
  <si>
    <t>Климатический коэффициент для горизонтальных электродов</t>
  </si>
  <si>
    <t>Климатический коэффициент для вертикальных электродов</t>
  </si>
  <si>
    <t>Глубина заложения горизонтального заземлителя</t>
  </si>
  <si>
    <t>Толщина верхнего слоя грунта</t>
  </si>
  <si>
    <t>Удельное сопротивление верхнего слоя грунта</t>
  </si>
  <si>
    <t>Нормируемое сопротивление заземляющего устройства</t>
  </si>
  <si>
    <t>Удельное сопротивление нижнего слоя грунта</t>
  </si>
  <si>
    <t>Длина вертикального заземлителя</t>
  </si>
  <si>
    <t>Расстояние от поверхности земли до середины заземлителя</t>
  </si>
  <si>
    <t>Число вертикальных электродов</t>
  </si>
  <si>
    <t>170-190</t>
  </si>
  <si>
    <t>L1,м</t>
  </si>
  <si>
    <t>Расчет  заземляющего устройства</t>
  </si>
  <si>
    <t>-</t>
  </si>
  <si>
    <t>ρг=ψ2*ρ1, Ом*м</t>
  </si>
  <si>
    <t>Rз=(Rв* Rг)/(Rв *ηг +Rг *ηв* n), Ом</t>
  </si>
  <si>
    <t>ρв=(Ψ1*ρ1*ρ2*L1)/(ρ1*(L1-H+t)+ρ2*(H-t)), Ом*м</t>
  </si>
  <si>
    <t>Rв=(ρв/2πL1)* (ln⁡((2L1)/d)+0,5 ln⁡((4T+L1)/(4T-L1 ))), Ом</t>
  </si>
  <si>
    <t>Rг=(ρг/2πL2 )*ln⁡((L2^2)/(0,5b*t)), Ом</t>
  </si>
  <si>
    <t>H,м</t>
  </si>
  <si>
    <t>Ширина горизонтального полосового элетрода</t>
  </si>
  <si>
    <t>b, м</t>
  </si>
  <si>
    <t>Обозначение</t>
  </si>
  <si>
    <t>L/L1=</t>
  </si>
  <si>
    <t>Сопротивление</t>
  </si>
  <si>
    <t>Грунт</t>
  </si>
  <si>
    <t>Асфальт</t>
  </si>
  <si>
    <t>Базальт</t>
  </si>
  <si>
    <t>Бентонит (сорт глины)</t>
  </si>
  <si>
    <t>Бетон</t>
  </si>
  <si>
    <t>Вода морская</t>
  </si>
  <si>
    <t>Вода прудовая</t>
  </si>
  <si>
    <t>Вода равнинной реки</t>
  </si>
  <si>
    <t>Вода грунтовая</t>
  </si>
  <si>
    <t>Вечномёрзлый грунт - талый слой (у поверхности летом)</t>
  </si>
  <si>
    <t>Вечномёрзлый грунт (суглинок)</t>
  </si>
  <si>
    <t>Вечномёрзлый грунт (песок)</t>
  </si>
  <si>
    <t>Глина влажная</t>
  </si>
  <si>
    <t>Глина полутвёрдая</t>
  </si>
  <si>
    <t>Гнейс разложившийся</t>
  </si>
  <si>
    <t>Гравий глинистый, неоднородный</t>
  </si>
  <si>
    <t>Гравий однородный</t>
  </si>
  <si>
    <t>Гранит</t>
  </si>
  <si>
    <t>Гранитный гравий</t>
  </si>
  <si>
    <t>Дресва (мелкий щебень/крупный песок)</t>
  </si>
  <si>
    <t>Зола, пепел</t>
  </si>
  <si>
    <t>Ил</t>
  </si>
  <si>
    <t>Каменный уголь</t>
  </si>
  <si>
    <t>Кварц</t>
  </si>
  <si>
    <t>Кокс</t>
  </si>
  <si>
    <t>Лёсс (желтозем)</t>
  </si>
  <si>
    <t>Мел</t>
  </si>
  <si>
    <t>Мергель обычный</t>
  </si>
  <si>
    <t>Мергель глинистый (50 - 75% глинистых частиц)</t>
  </si>
  <si>
    <t>Песок, сильно увлажненный грунтовыми водами</t>
  </si>
  <si>
    <t>Песок, умеренно увлажненный</t>
  </si>
  <si>
    <t>Песок влажный</t>
  </si>
  <si>
    <t>Песок слегка влажный</t>
  </si>
  <si>
    <t>Песок сухой</t>
  </si>
  <si>
    <t>Супесь (супесок)</t>
  </si>
  <si>
    <t>Песчаник</t>
  </si>
  <si>
    <t>Садовая земля</t>
  </si>
  <si>
    <t>Солончак</t>
  </si>
  <si>
    <t>Суглинок, сильно увлажненный грунтовыми водами</t>
  </si>
  <si>
    <t>Суглинок полутвердый, лесовидный</t>
  </si>
  <si>
    <t>Суглинок при температуре минус 5 С°</t>
  </si>
  <si>
    <t>Сланец</t>
  </si>
  <si>
    <t>Торф при температуре 10°</t>
  </si>
  <si>
    <t>Торф при температуре 0 С°</t>
  </si>
  <si>
    <t>Чернозём</t>
  </si>
  <si>
    <t>Щебень мокрый</t>
  </si>
  <si>
    <t>Щебень сухой</t>
  </si>
  <si>
    <t>Графитовая крошка</t>
  </si>
  <si>
    <t>Сланец графитовый</t>
  </si>
  <si>
    <t>Известняк</t>
  </si>
  <si>
    <t>n=, шт.</t>
  </si>
  <si>
    <t xml:space="preserve">t=, м </t>
  </si>
  <si>
    <t xml:space="preserve">T=, м </t>
  </si>
  <si>
    <t>h=, м</t>
  </si>
  <si>
    <t>Rд=, Ом</t>
  </si>
  <si>
    <t>ρ1=, Ом*м</t>
  </si>
  <si>
    <t>ρ2=, Ом*м</t>
  </si>
  <si>
    <t>Параметры</t>
  </si>
  <si>
    <t>Значения</t>
  </si>
  <si>
    <t>Расчетное значение удельного сопротивления грунта для вертикального заземлителя, ρв=, Ом*м</t>
  </si>
  <si>
    <t>Расчетное значение удельного сопротивления грунта для горизонтального заземлителя,  ρг=, Ом*м</t>
  </si>
  <si>
    <t>Сопротивление одиночного вертикального заземлителя  Rв=,  Ом</t>
  </si>
  <si>
    <t>Сопротивление одиночного горизонтального заземлителя Rг=,  Ом</t>
  </si>
  <si>
    <t>Расчетное сопротивление заземлителя, Rз=,  Ом</t>
  </si>
  <si>
    <t>Проверка расчета</t>
  </si>
  <si>
    <t>Обозначения, ед.измерения</t>
  </si>
  <si>
    <t>Обозначения, формулы, ед.измерения</t>
  </si>
  <si>
    <t>ρг, Ом*м</t>
  </si>
  <si>
    <t>ρв, Ом*м</t>
  </si>
  <si>
    <t>Rв, Ом</t>
  </si>
  <si>
    <t>Rг, Ом</t>
  </si>
  <si>
    <t>Rз, Ом</t>
  </si>
  <si>
    <t>Формулы для ворда: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</si>
</sst>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10" fillId="0" borderId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/>
    <xf numFmtId="0" fontId="6" fillId="0" borderId="8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0" xfId="1" applyAlignment="1">
      <alignment vertical="center"/>
    </xf>
    <xf numFmtId="0" fontId="6" fillId="0" borderId="10" xfId="1" applyBorder="1" applyAlignment="1">
      <alignment horizontal="center" vertical="center"/>
    </xf>
    <xf numFmtId="0" fontId="6" fillId="0" borderId="11" xfId="1" applyBorder="1" applyAlignment="1">
      <alignment horizontal="center" vertical="center"/>
    </xf>
    <xf numFmtId="0" fontId="6" fillId="0" borderId="12" xfId="1" applyBorder="1" applyAlignment="1">
      <alignment horizontal="center" vertical="center"/>
    </xf>
    <xf numFmtId="0" fontId="6" fillId="0" borderId="13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6" fillId="0" borderId="14" xfId="1" applyBorder="1" applyAlignment="1">
      <alignment horizontal="center" vertical="center"/>
    </xf>
    <xf numFmtId="0" fontId="6" fillId="0" borderId="14" xfId="1" applyBorder="1" applyAlignment="1">
      <alignment horizontal="center" vertical="center" wrapText="1"/>
    </xf>
    <xf numFmtId="0" fontId="6" fillId="0" borderId="0" xfId="1" applyBorder="1" applyAlignment="1">
      <alignment vertical="center"/>
    </xf>
    <xf numFmtId="0" fontId="6" fillId="0" borderId="0" xfId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6" fillId="0" borderId="4" xfId="1" applyBorder="1" applyAlignment="1">
      <alignment vertical="center"/>
    </xf>
    <xf numFmtId="0" fontId="6" fillId="0" borderId="15" xfId="1" applyBorder="1" applyAlignment="1">
      <alignment vertical="center"/>
    </xf>
    <xf numFmtId="0" fontId="6" fillId="0" borderId="20" xfId="1" applyBorder="1" applyAlignment="1">
      <alignment vertical="center"/>
    </xf>
    <xf numFmtId="0" fontId="6" fillId="0" borderId="23" xfId="1" applyBorder="1" applyAlignment="1">
      <alignment horizontal="center" vertical="center"/>
    </xf>
    <xf numFmtId="0" fontId="6" fillId="0" borderId="24" xfId="1" applyBorder="1" applyAlignment="1">
      <alignment horizontal="center" vertical="center"/>
    </xf>
    <xf numFmtId="0" fontId="6" fillId="0" borderId="25" xfId="1" applyBorder="1" applyAlignment="1">
      <alignment horizontal="center" vertical="center"/>
    </xf>
    <xf numFmtId="0" fontId="6" fillId="0" borderId="26" xfId="1" applyBorder="1" applyAlignment="1">
      <alignment horizontal="center" vertical="center"/>
    </xf>
    <xf numFmtId="0" fontId="6" fillId="0" borderId="3" xfId="1" applyBorder="1" applyAlignment="1">
      <alignment vertical="center" wrapText="1"/>
    </xf>
    <xf numFmtId="0" fontId="6" fillId="0" borderId="28" xfId="1" applyBorder="1" applyAlignment="1">
      <alignment vertical="center" wrapText="1"/>
    </xf>
    <xf numFmtId="0" fontId="6" fillId="0" borderId="6" xfId="1" applyBorder="1" applyAlignment="1">
      <alignment vertical="center" wrapText="1"/>
    </xf>
    <xf numFmtId="0" fontId="6" fillId="0" borderId="4" xfId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4" xfId="0" applyNumberFormat="1" applyBorder="1" applyAlignment="1">
      <alignment wrapText="1"/>
    </xf>
    <xf numFmtId="0" fontId="0" fillId="0" borderId="5" xfId="0" applyBorder="1"/>
    <xf numFmtId="0" fontId="0" fillId="0" borderId="4" xfId="0" applyBorder="1"/>
    <xf numFmtId="0" fontId="0" fillId="0" borderId="30" xfId="0" applyBorder="1" applyAlignment="1"/>
    <xf numFmtId="0" fontId="0" fillId="0" borderId="30" xfId="0" applyFill="1" applyBorder="1" applyAlignment="1"/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32" xfId="0" applyBorder="1"/>
    <xf numFmtId="49" fontId="0" fillId="0" borderId="30" xfId="0" applyNumberFormat="1" applyBorder="1" applyAlignment="1">
      <alignment wrapText="1"/>
    </xf>
    <xf numFmtId="0" fontId="0" fillId="0" borderId="33" xfId="0" applyBorder="1" applyAlignment="1">
      <alignment horizontal="center"/>
    </xf>
    <xf numFmtId="0" fontId="9" fillId="0" borderId="9" xfId="2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2" fillId="7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2" fontId="2" fillId="3" borderId="3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2" fontId="15" fillId="6" borderId="9" xfId="0" applyNumberFormat="1" applyFont="1" applyFill="1" applyBorder="1" applyAlignment="1">
      <alignment horizontal="center" vertical="center"/>
    </xf>
    <xf numFmtId="0" fontId="17" fillId="0" borderId="0" xfId="0" applyFont="1"/>
    <xf numFmtId="0" fontId="13" fillId="2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3" fillId="0" borderId="0" xfId="2" applyFont="1"/>
    <xf numFmtId="0" fontId="2" fillId="0" borderId="14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164" fontId="2" fillId="0" borderId="11" xfId="2" applyNumberFormat="1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2" fontId="2" fillId="0" borderId="12" xfId="2" applyNumberFormat="1" applyFont="1" applyBorder="1" applyAlignment="1">
      <alignment horizontal="center" vertical="center"/>
    </xf>
    <xf numFmtId="2" fontId="2" fillId="0" borderId="11" xfId="2" applyNumberFormat="1" applyFont="1" applyBorder="1" applyAlignment="1">
      <alignment horizontal="center" vertical="center"/>
    </xf>
    <xf numFmtId="2" fontId="2" fillId="0" borderId="10" xfId="2" applyNumberFormat="1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top"/>
    </xf>
    <xf numFmtId="0" fontId="2" fillId="5" borderId="38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left" vertical="center"/>
    </xf>
    <xf numFmtId="0" fontId="16" fillId="2" borderId="36" xfId="0" applyFont="1" applyFill="1" applyBorder="1" applyAlignment="1">
      <alignment horizontal="left" vertical="center"/>
    </xf>
    <xf numFmtId="0" fontId="2" fillId="0" borderId="34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25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6" fillId="0" borderId="14" xfId="1" applyBorder="1" applyAlignment="1">
      <alignment horizontal="center" vertical="center"/>
    </xf>
    <xf numFmtId="0" fontId="6" fillId="0" borderId="19" xfId="1" applyBorder="1" applyAlignment="1">
      <alignment horizontal="center" vertical="center"/>
    </xf>
    <xf numFmtId="0" fontId="6" fillId="0" borderId="18" xfId="1" applyBorder="1" applyAlignment="1">
      <alignment horizontal="center" vertical="center"/>
    </xf>
    <xf numFmtId="0" fontId="6" fillId="0" borderId="17" xfId="1" applyBorder="1" applyAlignment="1">
      <alignment horizontal="center" vertical="center"/>
    </xf>
    <xf numFmtId="0" fontId="6" fillId="0" borderId="16" xfId="1" applyBorder="1" applyAlignment="1">
      <alignment horizontal="center" vertical="center"/>
    </xf>
    <xf numFmtId="0" fontId="6" fillId="0" borderId="29" xfId="1" applyBorder="1" applyAlignment="1">
      <alignment horizontal="center" vertical="center"/>
    </xf>
    <xf numFmtId="0" fontId="6" fillId="0" borderId="27" xfId="1" applyBorder="1" applyAlignment="1">
      <alignment horizontal="center" vertical="center"/>
    </xf>
    <xf numFmtId="0" fontId="6" fillId="0" borderId="22" xfId="1" applyBorder="1" applyAlignment="1">
      <alignment horizontal="center" vertical="center"/>
    </xf>
    <xf numFmtId="0" fontId="6" fillId="0" borderId="21" xfId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18"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0.46398136660695932"/>
                  <c:y val="-0.46317845137131219"/>
                </c:manualLayout>
              </c:layout>
              <c:numFmt formatCode="General" sourceLinked="0"/>
            </c:trendlineLbl>
          </c:trendline>
          <c:xVal>
            <c:numRef>
              <c:f>Коэф.исп.!$C$26:$C$32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100</c:v>
                </c:pt>
              </c:numCache>
            </c:numRef>
          </c:xVal>
          <c:yVal>
            <c:numRef>
              <c:f>Коэф.исп.!$D$26:$D$32</c:f>
              <c:numCache>
                <c:formatCode>General</c:formatCode>
                <c:ptCount val="7"/>
                <c:pt idx="0">
                  <c:v>0.69</c:v>
                </c:pt>
                <c:pt idx="1">
                  <c:v>0.61</c:v>
                </c:pt>
                <c:pt idx="2">
                  <c:v>0.56000000000000005</c:v>
                </c:pt>
                <c:pt idx="3">
                  <c:v>0.47</c:v>
                </c:pt>
                <c:pt idx="4">
                  <c:v>0.41</c:v>
                </c:pt>
                <c:pt idx="5">
                  <c:v>0.39</c:v>
                </c:pt>
                <c:pt idx="6">
                  <c:v>0.36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184-43CD-A532-CEDCDA076C07}"/>
            </c:ext>
          </c:extLst>
        </c:ser>
        <c:ser>
          <c:idx val="1"/>
          <c:order val="1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0.4529263310273719"/>
                  <c:y val="-0.22128406800534134"/>
                </c:manualLayout>
              </c:layout>
              <c:numFmt formatCode="General" sourceLinked="0"/>
            </c:trendlineLbl>
          </c:trendline>
          <c:xVal>
            <c:numRef>
              <c:f>Коэф.исп.!$C$33:$C$39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100</c:v>
                </c:pt>
              </c:numCache>
            </c:numRef>
          </c:xVal>
          <c:yVal>
            <c:numRef>
              <c:f>Коэф.исп.!$D$33:$D$39</c:f>
              <c:numCache>
                <c:formatCode>General</c:formatCode>
                <c:ptCount val="7"/>
                <c:pt idx="0">
                  <c:v>0.78</c:v>
                </c:pt>
                <c:pt idx="1">
                  <c:v>0.73</c:v>
                </c:pt>
                <c:pt idx="2">
                  <c:v>0.68</c:v>
                </c:pt>
                <c:pt idx="3">
                  <c:v>0.63</c:v>
                </c:pt>
                <c:pt idx="4">
                  <c:v>0.57999999999999996</c:v>
                </c:pt>
                <c:pt idx="5">
                  <c:v>0.55000000000000004</c:v>
                </c:pt>
                <c:pt idx="6">
                  <c:v>0.52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184-43CD-A532-CEDCDA076C07}"/>
            </c:ext>
          </c:extLst>
        </c:ser>
        <c:ser>
          <c:idx val="2"/>
          <c:order val="2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0.4529263310273719"/>
                  <c:y val="-6.2170328391764611E-2"/>
                </c:manualLayout>
              </c:layout>
              <c:numFmt formatCode="General" sourceLinked="0"/>
            </c:trendlineLbl>
          </c:trendline>
          <c:xVal>
            <c:numRef>
              <c:f>Коэф.исп.!$C$40:$C$46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100</c:v>
                </c:pt>
              </c:numCache>
            </c:numRef>
          </c:xVal>
          <c:yVal>
            <c:numRef>
              <c:f>Коэф.исп.!$D$40:$D$46</c:f>
              <c:numCache>
                <c:formatCode>General</c:formatCode>
                <c:ptCount val="7"/>
                <c:pt idx="0">
                  <c:v>0.85</c:v>
                </c:pt>
                <c:pt idx="1">
                  <c:v>0.8</c:v>
                </c:pt>
                <c:pt idx="2">
                  <c:v>0.76</c:v>
                </c:pt>
                <c:pt idx="3">
                  <c:v>0.71</c:v>
                </c:pt>
                <c:pt idx="4">
                  <c:v>0.66</c:v>
                </c:pt>
                <c:pt idx="5">
                  <c:v>0.64</c:v>
                </c:pt>
                <c:pt idx="6">
                  <c:v>0.62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184-43CD-A532-CEDCDA076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314112"/>
        <c:axId val="429318816"/>
      </c:scatterChart>
      <c:valAx>
        <c:axId val="4293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9318816"/>
        <c:crosses val="autoZero"/>
        <c:crossBetween val="midCat"/>
      </c:valAx>
      <c:valAx>
        <c:axId val="42931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314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722898787014514"/>
          <c:y val="4.1064901496790547E-2"/>
          <c:w val="0.28736111111111112"/>
          <c:h val="0.502303149606299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0.47729550305961166"/>
                  <c:y val="-0.40365102552107102"/>
                </c:manualLayout>
              </c:layout>
              <c:numFmt formatCode="General" sourceLinked="0"/>
            </c:trendlineLbl>
          </c:trendline>
          <c:xVal>
            <c:numRef>
              <c:f>Коэф.исп.!$C$6:$C$10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20</c:v>
                </c:pt>
              </c:numCache>
            </c:numRef>
          </c:xVal>
          <c:yVal>
            <c:numRef>
              <c:f>Коэф.исп.!$D$6:$D$10</c:f>
              <c:numCache>
                <c:formatCode>General</c:formatCode>
                <c:ptCount val="5"/>
                <c:pt idx="0">
                  <c:v>0.85</c:v>
                </c:pt>
                <c:pt idx="1">
                  <c:v>0.73</c:v>
                </c:pt>
                <c:pt idx="2">
                  <c:v>0.65</c:v>
                </c:pt>
                <c:pt idx="3">
                  <c:v>0.59</c:v>
                </c:pt>
                <c:pt idx="4">
                  <c:v>0.48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2B1-4A07-8716-9A20436EEEC3}"/>
            </c:ext>
          </c:extLst>
        </c:ser>
        <c:ser>
          <c:idx val="1"/>
          <c:order val="1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0.47729550305961166"/>
                  <c:y val="-0.17400114770670005"/>
                </c:manualLayout>
              </c:layout>
              <c:numFmt formatCode="General" sourceLinked="0"/>
            </c:trendlineLbl>
          </c:trendline>
          <c:xVal>
            <c:numRef>
              <c:f>Коэф.исп.!$C$11:$C$15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20</c:v>
                </c:pt>
              </c:numCache>
            </c:numRef>
          </c:xVal>
          <c:yVal>
            <c:numRef>
              <c:f>Коэф.исп.!$D$11:$D$15</c:f>
              <c:numCache>
                <c:formatCode>General</c:formatCode>
                <c:ptCount val="5"/>
                <c:pt idx="0">
                  <c:v>0.91</c:v>
                </c:pt>
                <c:pt idx="1">
                  <c:v>0.83</c:v>
                </c:pt>
                <c:pt idx="2">
                  <c:v>0.77</c:v>
                </c:pt>
                <c:pt idx="3">
                  <c:v>0.74</c:v>
                </c:pt>
                <c:pt idx="4">
                  <c:v>0.67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2B1-4A07-8716-9A20436EEEC3}"/>
            </c:ext>
          </c:extLst>
        </c:ser>
        <c:ser>
          <c:idx val="2"/>
          <c:order val="2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0.47729550305961166"/>
                  <c:y val="-6.9740017924857451E-3"/>
                </c:manualLayout>
              </c:layout>
              <c:numFmt formatCode="General" sourceLinked="0"/>
            </c:trendlineLbl>
          </c:trendline>
          <c:xVal>
            <c:numRef>
              <c:f>Коэф.исп.!$C$16:$C$20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20</c:v>
                </c:pt>
              </c:numCache>
            </c:numRef>
          </c:xVal>
          <c:yVal>
            <c:numRef>
              <c:f>Коэф.исп.!$D$16:$D$20</c:f>
              <c:numCache>
                <c:formatCode>General</c:formatCode>
                <c:ptCount val="5"/>
                <c:pt idx="0">
                  <c:v>0.94</c:v>
                </c:pt>
                <c:pt idx="1">
                  <c:v>0.89</c:v>
                </c:pt>
                <c:pt idx="2">
                  <c:v>0.85</c:v>
                </c:pt>
                <c:pt idx="3">
                  <c:v>0.81</c:v>
                </c:pt>
                <c:pt idx="4">
                  <c:v>0.76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2B1-4A07-8716-9A20436EE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315680"/>
        <c:axId val="429319208"/>
      </c:scatterChart>
      <c:valAx>
        <c:axId val="4293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9319208"/>
        <c:crosses val="autoZero"/>
        <c:crossBetween val="midCat"/>
      </c:valAx>
      <c:valAx>
        <c:axId val="429319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315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509711286089236"/>
          <c:y val="2.2380431612715076E-2"/>
          <c:w val="0.28736111111111112"/>
          <c:h val="0.502303149606299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exp"/>
            <c:dispRSqr val="0"/>
            <c:dispEq val="1"/>
            <c:trendlineLbl>
              <c:layout>
                <c:manualLayout>
                  <c:x val="0.48429902105578676"/>
                  <c:y val="-0.49429461254442175"/>
                </c:manualLayout>
              </c:layout>
              <c:numFmt formatCode="General" sourceLinked="0"/>
            </c:trendlineLbl>
          </c:trendline>
          <c:xVal>
            <c:numRef>
              <c:f>Коэф.исп.!$C$60:$G$60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20</c:v>
                </c:pt>
              </c:numCache>
            </c:numRef>
          </c:xVal>
          <c:yVal>
            <c:numRef>
              <c:f>Коэф.исп.!$C$61:$G$61</c:f>
              <c:numCache>
                <c:formatCode>General</c:formatCode>
                <c:ptCount val="5"/>
                <c:pt idx="0">
                  <c:v>0.85</c:v>
                </c:pt>
                <c:pt idx="1">
                  <c:v>0.77</c:v>
                </c:pt>
                <c:pt idx="2">
                  <c:v>0.72</c:v>
                </c:pt>
                <c:pt idx="3">
                  <c:v>0.62</c:v>
                </c:pt>
                <c:pt idx="4">
                  <c:v>0.42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504-4C5E-87D2-17562BEAC904}"/>
            </c:ext>
          </c:extLst>
        </c:ser>
        <c:ser>
          <c:idx val="1"/>
          <c:order val="1"/>
          <c:marker>
            <c:symbol val="none"/>
          </c:marker>
          <c:trendline>
            <c:trendlineType val="exp"/>
            <c:dispRSqr val="0"/>
            <c:dispEq val="1"/>
            <c:trendlineLbl>
              <c:layout>
                <c:manualLayout>
                  <c:x val="0.48429902105578676"/>
                  <c:y val="-0.31873951228802738"/>
                </c:manualLayout>
              </c:layout>
              <c:numFmt formatCode="General" sourceLinked="0"/>
            </c:trendlineLbl>
          </c:trendline>
          <c:xVal>
            <c:numRef>
              <c:f>Коэф.исп.!$C$60:$G$60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20</c:v>
                </c:pt>
              </c:numCache>
            </c:numRef>
          </c:xVal>
          <c:yVal>
            <c:numRef>
              <c:f>Коэф.исп.!$C$62:$G$62</c:f>
              <c:numCache>
                <c:formatCode>General</c:formatCode>
                <c:ptCount val="5"/>
                <c:pt idx="0">
                  <c:v>0.94</c:v>
                </c:pt>
                <c:pt idx="1">
                  <c:v>0.9</c:v>
                </c:pt>
                <c:pt idx="2">
                  <c:v>0.84</c:v>
                </c:pt>
                <c:pt idx="3">
                  <c:v>0.75</c:v>
                </c:pt>
                <c:pt idx="4">
                  <c:v>0.56000000000000005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504-4C5E-87D2-17562BEAC904}"/>
            </c:ext>
          </c:extLst>
        </c:ser>
        <c:ser>
          <c:idx val="2"/>
          <c:order val="2"/>
          <c:marker>
            <c:symbol val="none"/>
          </c:marker>
          <c:trendline>
            <c:trendlineType val="exp"/>
            <c:dispRSqr val="0"/>
            <c:dispEq val="1"/>
            <c:trendlineLbl>
              <c:layout>
                <c:manualLayout>
                  <c:x val="0.48706957672453999"/>
                  <c:y val="-0.14935151131266114"/>
                </c:manualLayout>
              </c:layout>
              <c:numFmt formatCode="General" sourceLinked="0"/>
            </c:trendlineLbl>
          </c:trendline>
          <c:xVal>
            <c:numRef>
              <c:f>Коэф.исп.!$C$60:$G$60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20</c:v>
                </c:pt>
              </c:numCache>
            </c:numRef>
          </c:xVal>
          <c:yVal>
            <c:numRef>
              <c:f>Коэф.исп.!$C$63:$G$63</c:f>
              <c:numCache>
                <c:formatCode>General</c:formatCode>
                <c:ptCount val="5"/>
                <c:pt idx="0">
                  <c:v>0.96</c:v>
                </c:pt>
                <c:pt idx="1">
                  <c:v>0.92</c:v>
                </c:pt>
                <c:pt idx="2">
                  <c:v>0.88</c:v>
                </c:pt>
                <c:pt idx="3">
                  <c:v>0.82</c:v>
                </c:pt>
                <c:pt idx="4">
                  <c:v>0.68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504-4C5E-87D2-17562BEAC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320776"/>
        <c:axId val="429314504"/>
      </c:scatterChart>
      <c:valAx>
        <c:axId val="42932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9314504"/>
        <c:crosses val="autoZero"/>
        <c:crossBetween val="midCat"/>
      </c:valAx>
      <c:valAx>
        <c:axId val="429314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320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033553556315726"/>
          <c:y val="5.015805621288006E-2"/>
          <c:w val="0.28736111111111112"/>
          <c:h val="0.685935265621808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0.46145808673359545"/>
                  <c:y val="-0.56747080252028581"/>
                </c:manualLayout>
              </c:layout>
              <c:numFmt formatCode="General" sourceLinked="0"/>
            </c:trendlineLbl>
          </c:trendline>
          <c:xVal>
            <c:numRef>
              <c:f>Коэф.исп.!$D$68:$J$68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100</c:v>
                </c:pt>
              </c:numCache>
            </c:numRef>
          </c:xVal>
          <c:yVal>
            <c:numRef>
              <c:f>Коэф.исп.!$D$69:$J$69</c:f>
              <c:numCache>
                <c:formatCode>General</c:formatCode>
                <c:ptCount val="7"/>
                <c:pt idx="0">
                  <c:v>0.45</c:v>
                </c:pt>
                <c:pt idx="1">
                  <c:v>0.4</c:v>
                </c:pt>
                <c:pt idx="2">
                  <c:v>0.34</c:v>
                </c:pt>
                <c:pt idx="3">
                  <c:v>0.27</c:v>
                </c:pt>
                <c:pt idx="4">
                  <c:v>0.22</c:v>
                </c:pt>
                <c:pt idx="5">
                  <c:v>0.2</c:v>
                </c:pt>
                <c:pt idx="6">
                  <c:v>0.19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104-42E0-ADAE-95E60072B92D}"/>
            </c:ext>
          </c:extLst>
        </c:ser>
        <c:ser>
          <c:idx val="1"/>
          <c:order val="1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0.46491342157048676"/>
                  <c:y val="-0.41954027909485758"/>
                </c:manualLayout>
              </c:layout>
              <c:numFmt formatCode="General" sourceLinked="0"/>
            </c:trendlineLbl>
          </c:trendline>
          <c:xVal>
            <c:numRef>
              <c:f>Коэф.исп.!$D$68:$J$68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100</c:v>
                </c:pt>
              </c:numCache>
            </c:numRef>
          </c:xVal>
          <c:yVal>
            <c:numRef>
              <c:f>Коэф.исп.!$D$70:$J$70</c:f>
              <c:numCache>
                <c:formatCode>General</c:formatCode>
                <c:ptCount val="7"/>
                <c:pt idx="0">
                  <c:v>0.55000000000000004</c:v>
                </c:pt>
                <c:pt idx="1">
                  <c:v>0.48</c:v>
                </c:pt>
                <c:pt idx="2">
                  <c:v>0.4</c:v>
                </c:pt>
                <c:pt idx="3">
                  <c:v>0.32</c:v>
                </c:pt>
                <c:pt idx="4">
                  <c:v>0.28999999999999998</c:v>
                </c:pt>
                <c:pt idx="5">
                  <c:v>0.27</c:v>
                </c:pt>
                <c:pt idx="6">
                  <c:v>0.23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104-42E0-ADAE-95E60072B92D}"/>
            </c:ext>
          </c:extLst>
        </c:ser>
        <c:ser>
          <c:idx val="2"/>
          <c:order val="2"/>
          <c:marker>
            <c:symbol val="none"/>
          </c:marker>
          <c:trendline>
            <c:trendlineType val="power"/>
            <c:dispRSqr val="0"/>
            <c:dispEq val="1"/>
            <c:trendlineLbl>
              <c:layout>
                <c:manualLayout>
                  <c:x val="0.46491342157048676"/>
                  <c:y val="-0.21969283439615431"/>
                </c:manualLayout>
              </c:layout>
              <c:numFmt formatCode="General" sourceLinked="0"/>
            </c:trendlineLbl>
          </c:trendline>
          <c:xVal>
            <c:numRef>
              <c:f>Коэф.исп.!$D$68:$J$68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100</c:v>
                </c:pt>
              </c:numCache>
            </c:numRef>
          </c:xVal>
          <c:yVal>
            <c:numRef>
              <c:f>Коэф.исп.!$D$71:$J$71</c:f>
              <c:numCache>
                <c:formatCode>General</c:formatCode>
                <c:ptCount val="7"/>
                <c:pt idx="0">
                  <c:v>0.7</c:v>
                </c:pt>
                <c:pt idx="1">
                  <c:v>0.64</c:v>
                </c:pt>
                <c:pt idx="2">
                  <c:v>0.56000000000000005</c:v>
                </c:pt>
                <c:pt idx="3">
                  <c:v>0.45</c:v>
                </c:pt>
                <c:pt idx="4">
                  <c:v>0.39</c:v>
                </c:pt>
                <c:pt idx="5">
                  <c:v>0.36</c:v>
                </c:pt>
                <c:pt idx="6">
                  <c:v>0.33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104-42E0-ADAE-95E60072B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315288"/>
        <c:axId val="429319992"/>
      </c:scatterChart>
      <c:valAx>
        <c:axId val="42931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9319992"/>
        <c:crosses val="autoZero"/>
        <c:crossBetween val="midCat"/>
      </c:valAx>
      <c:valAx>
        <c:axId val="429319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315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033561609549517"/>
          <c:y val="5.9393387613018545E-2"/>
          <c:w val="0.28736111111111112"/>
          <c:h val="0.685935265621808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45947</xdr:colOff>
      <xdr:row>21</xdr:row>
      <xdr:rowOff>188931</xdr:rowOff>
    </xdr:from>
    <xdr:ext cx="2332893" cy="4493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xmlns="" id="{4D16A8D1-243D-4AE6-BC47-5501CD62869F}"/>
                </a:ext>
              </a:extLst>
            </xdr:cNvPr>
            <xdr:cNvSpPr txBox="1"/>
          </xdr:nvSpPr>
          <xdr:spPr>
            <a:xfrm>
              <a:off x="1345829" y="7887372"/>
              <a:ext cx="2332893" cy="4493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з</m:t>
                        </m:r>
                      </m:sub>
                    </m:sSub>
                    <m:r>
                      <a:rPr lang="ru-RU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ru-RU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ru-RU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в</m:t>
                                </m:r>
                              </m:sub>
                            </m:sSub>
                            <m:r>
                              <a:rPr lang="ru-RU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×</m:t>
                            </m:r>
                            <m:r>
                              <a:rPr lang="ru-RU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г</m:t>
                                </m:r>
                              </m:sub>
                            </m:sSub>
                          </m:e>
                        </m:d>
                      </m:num>
                      <m:den>
                        <m:d>
                          <m:dPr>
                            <m:ctrlPr>
                              <a:rPr lang="ru-RU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в</m:t>
                                </m:r>
                              </m:sub>
                            </m:sSub>
                            <m:r>
                              <a:rPr lang="ru-RU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ru-RU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l-G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𝜂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г</m:t>
                                </m:r>
                              </m:sub>
                            </m:sSub>
                            <m:r>
                              <a:rPr lang="ru-RU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+</m:t>
                            </m:r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г</m:t>
                                </m:r>
                              </m:sub>
                            </m:sSub>
                            <m:r>
                              <a:rPr lang="ru-RU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ru-RU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l-G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𝜂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в</m:t>
                                </m:r>
                              </m:sub>
                            </m:sSub>
                            <m:r>
                              <a:rPr lang="ru-RU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×</m:t>
                            </m:r>
                            <m:r>
                              <a:rPr lang="ru-RU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</m:den>
                    </m:f>
                    <m:r>
                      <a:rPr lang="ru-RU" sz="1100" b="0" i="1">
                        <a:latin typeface="Cambria Math" panose="02040503050406030204" pitchFamily="18" charset="0"/>
                      </a:rPr>
                      <m:t>,Ом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D16A8D1-243D-4AE6-BC47-5501CD62869F}"/>
                </a:ext>
              </a:extLst>
            </xdr:cNvPr>
            <xdr:cNvSpPr txBox="1"/>
          </xdr:nvSpPr>
          <xdr:spPr>
            <a:xfrm>
              <a:off x="1345829" y="7887372"/>
              <a:ext cx="2332893" cy="4493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з</a:t>
              </a:r>
              <a:r>
                <a:rPr lang="ru-RU" sz="1100" b="0" i="0">
                  <a:latin typeface="Cambria Math" panose="02040503050406030204" pitchFamily="18" charset="0"/>
                </a:rPr>
                <a:t>=</a:t>
              </a:r>
              <a:r>
                <a:rPr lang="ru-RU" sz="1100" i="0">
                  <a:latin typeface="Cambria Math" panose="02040503050406030204" pitchFamily="18" charset="0"/>
                </a:rPr>
                <a:t>(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𝑅_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в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г ))/((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𝑅_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в  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г 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г 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в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𝑛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,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ru-RU" sz="1100" b="0" i="0">
                  <a:latin typeface="Cambria Math" panose="02040503050406030204" pitchFamily="18" charset="0"/>
                </a:rPr>
                <a:t>,Ом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1</xdr:col>
      <xdr:colOff>120873</xdr:colOff>
      <xdr:row>19</xdr:row>
      <xdr:rowOff>108761</xdr:rowOff>
    </xdr:from>
    <xdr:ext cx="1985833" cy="4493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xmlns="" id="{E96D8BB2-B7FC-4BEF-93B3-BFACFF6D0083}"/>
                </a:ext>
              </a:extLst>
            </xdr:cNvPr>
            <xdr:cNvSpPr txBox="1"/>
          </xdr:nvSpPr>
          <xdr:spPr>
            <a:xfrm>
              <a:off x="1420755" y="7426202"/>
              <a:ext cx="1985833" cy="4493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г</m:t>
                        </m:r>
                      </m:sub>
                    </m:sSub>
                    <m:r>
                      <a:rPr lang="ru-RU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l-G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г</m:t>
                            </m:r>
                          </m:sub>
                        </m:sSub>
                        <m: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num>
                      <m:den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𝜋</m:t>
                        </m:r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𝑙𝑛</m:t>
                    </m:r>
                    <m:f>
                      <m:f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0,5</m:t>
                        </m:r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×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𝑡</m:t>
                        </m:r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 Ом</m:t>
                    </m:r>
                  </m:oMath>
                </m:oMathPara>
              </a14:m>
              <a:endParaRPr lang="ru-RU" sz="1100" b="0"/>
            </a:p>
            <a:p>
              <a:endParaRPr lang="ru-RU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E96D8BB2-B7FC-4BEF-93B3-BFACFF6D0083}"/>
                </a:ext>
              </a:extLst>
            </xdr:cNvPr>
            <xdr:cNvSpPr txBox="1"/>
          </xdr:nvSpPr>
          <xdr:spPr>
            <a:xfrm>
              <a:off x="1420755" y="7426202"/>
              <a:ext cx="1985833" cy="4493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г</a:t>
              </a:r>
              <a:r>
                <a:rPr lang="ru-RU" sz="1100" b="0" i="0">
                  <a:latin typeface="Cambria Math" panose="02040503050406030204" pitchFamily="18" charset="0"/>
                </a:rPr>
                <a:t>=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г 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)/(2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𝜋×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𝐿_2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𝑙𝑛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0,5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×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𝑏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×𝑡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 Ом</a:t>
              </a:r>
              <a:endParaRPr lang="ru-RU" sz="1100" b="0"/>
            </a:p>
            <a:p>
              <a:endParaRPr lang="ru-RU" sz="1100"/>
            </a:p>
          </xdr:txBody>
        </xdr:sp>
      </mc:Fallback>
    </mc:AlternateContent>
    <xdr:clientData/>
  </xdr:oneCellAnchor>
  <xdr:oneCellAnchor>
    <xdr:from>
      <xdr:col>1</xdr:col>
      <xdr:colOff>155860</xdr:colOff>
      <xdr:row>17</xdr:row>
      <xdr:rowOff>79661</xdr:rowOff>
    </xdr:from>
    <xdr:ext cx="2396289" cy="4493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xmlns="" id="{49E998D0-A780-4F35-80DA-E7593ECE189F}"/>
                </a:ext>
              </a:extLst>
            </xdr:cNvPr>
            <xdr:cNvSpPr txBox="1"/>
          </xdr:nvSpPr>
          <xdr:spPr>
            <a:xfrm>
              <a:off x="1455742" y="7016102"/>
              <a:ext cx="2396289" cy="4493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в</m:t>
                        </m:r>
                      </m:sub>
                    </m:sSub>
                    <m:r>
                      <a:rPr lang="ru-RU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l-G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в</m:t>
                            </m:r>
                          </m:sub>
                        </m:sSub>
                        <m: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num>
                      <m:den>
                        <m: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𝜋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𝑙𝑛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𝑙𝑛</m:t>
                    </m:r>
                    <m:f>
                      <m:f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), </m:t>
                    </m:r>
                    <m:r>
                      <a:rPr lang="ru-RU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Ом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9E998D0-A780-4F35-80DA-E7593ECE189F}"/>
                </a:ext>
              </a:extLst>
            </xdr:cNvPr>
            <xdr:cNvSpPr txBox="1"/>
          </xdr:nvSpPr>
          <xdr:spPr>
            <a:xfrm>
              <a:off x="1455742" y="7016102"/>
              <a:ext cx="2396289" cy="4493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в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в 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𝜋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𝐿_1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(𝑙𝑛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𝐿_1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)/𝑑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𝑙𝑛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4𝑇+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𝐿_1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4𝑇−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𝐿_1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), 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Ом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1</xdr:col>
      <xdr:colOff>184418</xdr:colOff>
      <xdr:row>15</xdr:row>
      <xdr:rowOff>185502</xdr:rowOff>
    </xdr:from>
    <xdr:ext cx="1382486" cy="2757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xmlns="" id="{52607A87-8D81-4D91-B889-4FA5344EA7ED}"/>
                </a:ext>
              </a:extLst>
            </xdr:cNvPr>
            <xdr:cNvSpPr txBox="1"/>
          </xdr:nvSpPr>
          <xdr:spPr>
            <a:xfrm>
              <a:off x="1484300" y="6740943"/>
              <a:ext cx="1382486" cy="2757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𝜌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г</m:t>
                        </m:r>
                      </m:sub>
                    </m:sSub>
                    <m:r>
                      <a:rPr lang="ru-RU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=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𝜓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l-GR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𝜌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ru-RU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 Ом</m:t>
                    </m:r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∙м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52607A87-8D81-4D91-B889-4FA5344EA7ED}"/>
                </a:ext>
              </a:extLst>
            </xdr:cNvPr>
            <xdr:cNvSpPr txBox="1"/>
          </xdr:nvSpPr>
          <xdr:spPr>
            <a:xfrm>
              <a:off x="1484300" y="6740943"/>
              <a:ext cx="1382486" cy="2757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г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𝜓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1, Ом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∙м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1</xdr:col>
      <xdr:colOff>184417</xdr:colOff>
      <xdr:row>13</xdr:row>
      <xdr:rowOff>82347</xdr:rowOff>
    </xdr:from>
    <xdr:ext cx="2650671" cy="4762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xmlns="" id="{F0183001-181F-4300-8768-1FE7EA3A790F}"/>
                </a:ext>
              </a:extLst>
            </xdr:cNvPr>
            <xdr:cNvSpPr txBox="1"/>
          </xdr:nvSpPr>
          <xdr:spPr>
            <a:xfrm>
              <a:off x="1484299" y="6256788"/>
              <a:ext cx="2650671" cy="476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𝜌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в</m:t>
                        </m:r>
                      </m:sub>
                    </m:sSub>
                    <m:r>
                      <a:rPr lang="ru-RU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ru-RU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l-G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𝜓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l-G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sSub>
                          <m:sSubPr>
                            <m:ctrlPr>
                              <a:rPr lang="el-G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l-G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sSub>
                          <m:sSubPr>
                            <m:ctrlPr>
                              <a:rPr lang="el-G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l-G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d>
                          <m:d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l-G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l-G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d>
                              <m:dPr>
                                <m:ctrlPr>
                                  <a:rPr lang="el-G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l-G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l-G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d>
                              <m:dPr>
                                <m:ctrlPr>
                                  <a:rPr lang="el-G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</m:d>
                          </m:e>
                        </m:d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,Ом</m:t>
                    </m:r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∙м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0183001-181F-4300-8768-1FE7EA3A790F}"/>
                </a:ext>
              </a:extLst>
            </xdr:cNvPr>
            <xdr:cNvSpPr txBox="1"/>
          </xdr:nvSpPr>
          <xdr:spPr>
            <a:xfrm>
              <a:off x="1484299" y="6256788"/>
              <a:ext cx="2650671" cy="476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в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𝜓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×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×𝜌_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×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𝐿_1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𝐿_1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−𝐻+𝑡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𝐻−𝑡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 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,Ом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∙м</a:t>
              </a:r>
              <a:endParaRPr lang="ru-RU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92351</xdr:colOff>
      <xdr:row>23</xdr:row>
      <xdr:rowOff>112229</xdr:rowOff>
    </xdr:from>
    <xdr:to>
      <xdr:col>14</xdr:col>
      <xdr:colOff>397151</xdr:colOff>
      <xdr:row>39</xdr:row>
      <xdr:rowOff>64604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4</xdr:row>
      <xdr:rowOff>9525</xdr:rowOff>
    </xdr:from>
    <xdr:to>
      <xdr:col>14</xdr:col>
      <xdr:colOff>333375</xdr:colOff>
      <xdr:row>19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585108</xdr:colOff>
      <xdr:row>47</xdr:row>
      <xdr:rowOff>142875</xdr:rowOff>
    </xdr:from>
    <xdr:to>
      <xdr:col>18</xdr:col>
      <xdr:colOff>892629</xdr:colOff>
      <xdr:row>63</xdr:row>
      <xdr:rowOff>110218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571500</xdr:colOff>
      <xdr:row>65</xdr:row>
      <xdr:rowOff>156883</xdr:rowOff>
    </xdr:from>
    <xdr:to>
      <xdr:col>18</xdr:col>
      <xdr:colOff>879021</xdr:colOff>
      <xdr:row>81</xdr:row>
      <xdr:rowOff>135431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minal2\LOGO\Users\kislitsyna\Desktop\Wiki_&#1069;&#1057;\&#1056;&#1072;&#1089;&#1095;&#1077;&#1090;%20&#1058;&#1050;&#1047;%20&#1074;&#1099;&#1096;&#1077;%201%20&#1082;&#1042;\&#1058;&#1050;&#1047;%20&#1074;%20&#1089;&#1077;&#1090;&#1103;&#1093;%20&#1074;&#1099;&#1096;&#1077;%201%20&#1082;&#1042;.re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minal2\LOGO\Users\kislitsyna\Desktop\0922-P-ES-Raschet_zazemlenija_&#1055;&#1083;&#1086;&#1097;&#1072;&#1076;&#1082;&#1072;%20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КЗ"/>
      <sheetName val="В печать"/>
      <sheetName val="Сводная"/>
      <sheetName val="cab"/>
      <sheetName val="Памятка"/>
    </sheetNames>
    <sheetDataSet>
      <sheetData sheetId="0">
        <row r="6">
          <cell r="D6">
            <v>10.5</v>
          </cell>
          <cell r="E6">
            <v>13.497999999999999</v>
          </cell>
          <cell r="F6">
            <v>6</v>
          </cell>
          <cell r="G6">
            <v>0.44911674518381028</v>
          </cell>
          <cell r="H6">
            <v>1.0103629710818451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ТП"/>
      <sheetName val="2"/>
      <sheetName val="3"/>
      <sheetName val="4"/>
      <sheetName val="Лист2"/>
      <sheetName val="Гру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глина влажная</v>
          </cell>
        </row>
        <row r="3">
          <cell r="A3" t="str">
            <v>глина полутвердая</v>
          </cell>
        </row>
        <row r="4">
          <cell r="A4" t="str">
            <v>гранит</v>
          </cell>
        </row>
        <row r="5">
          <cell r="A5" t="str">
            <v>дно реки</v>
          </cell>
        </row>
        <row r="6">
          <cell r="A6" t="str">
            <v>каменный уголь</v>
          </cell>
        </row>
        <row r="7">
          <cell r="A7" t="str">
            <v>кварц</v>
          </cell>
        </row>
        <row r="8">
          <cell r="A8" t="str">
            <v>кокс</v>
          </cell>
        </row>
        <row r="9">
          <cell r="A9" t="str">
            <v>лесс</v>
          </cell>
        </row>
        <row r="10">
          <cell r="A10" t="str">
            <v>песок</v>
          </cell>
        </row>
        <row r="11">
          <cell r="A11" t="str">
            <v>песок влажный</v>
          </cell>
        </row>
        <row r="12">
          <cell r="A12" t="str">
            <v>песок слегка влажный</v>
          </cell>
        </row>
        <row r="13">
          <cell r="A13" t="str">
            <v>песок сухой</v>
          </cell>
        </row>
        <row r="14">
          <cell r="A14" t="str">
            <v>песок умеренно увлажненный</v>
          </cell>
        </row>
        <row r="15">
          <cell r="A15" t="str">
            <v>песчаник</v>
          </cell>
        </row>
        <row r="16">
          <cell r="A16" t="str">
            <v>плотный известняк</v>
          </cell>
        </row>
        <row r="17">
          <cell r="A17" t="str">
            <v>пористый известняк</v>
          </cell>
        </row>
        <row r="18">
          <cell r="A18" t="str">
            <v>речная вода</v>
          </cell>
        </row>
        <row r="19">
          <cell r="A19" t="str">
            <v>садовая земля</v>
          </cell>
        </row>
        <row r="20">
          <cell r="A20" t="str">
            <v>суглинок полутвердый</v>
          </cell>
        </row>
        <row r="21">
          <cell r="A21" t="str">
            <v>суглинок сильно увлажненный</v>
          </cell>
        </row>
        <row r="22">
          <cell r="A22" t="str">
            <v>супесок</v>
          </cell>
        </row>
        <row r="23">
          <cell r="A23" t="str">
            <v>торф</v>
          </cell>
        </row>
        <row r="24">
          <cell r="A24" t="str">
            <v>чернозем</v>
          </cell>
        </row>
      </sheetData>
    </sheetDataSet>
  </externalBook>
</externalLink>
</file>

<file path=xl/tables/table1.xml><?xml version="1.0" encoding="utf-8"?>
<table xmlns="http://schemas.openxmlformats.org/spreadsheetml/2006/main" id="4" name="Grunt" displayName="Grunt" ref="A1:B50" totalsRowShown="0" headerRowDxfId="15">
  <sortState ref="A2:B50">
    <sortCondition ref="A2:A50"/>
  </sortState>
  <tableColumns count="2">
    <tableColumn id="1" name="Грунт" dataCellStyle="Обычный"/>
    <tableColumn id="2" name="Сопротивление" dataDxfId="14" dataCellStyle="Обычный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Таблица5" displayName="Таблица5" ref="A3:E16" totalsRowShown="0" headerRowDxfId="13" tableBorderDxfId="12">
  <autoFilter ref="A3:E16"/>
  <tableColumns count="5">
    <tableColumn id="1" name="Столбец1" dataDxfId="11"/>
    <tableColumn id="2" name="Столбец2" dataDxfId="10"/>
    <tableColumn id="3" name="Столбец3" dataDxfId="9"/>
    <tableColumn id="4" name="Столбец4" dataDxfId="8"/>
    <tableColumn id="5" name="Столбец5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K" displayName="K" ref="Q5:U11" totalsRowShown="0" headerRowDxfId="6" dataDxfId="5" headerRowCellStyle="Обычный 2" dataCellStyle="Обычный 2">
  <autoFilter ref="Q5:U11"/>
  <tableColumns count="5">
    <tableColumn id="1" name="Ключ" dataDxfId="4" dataCellStyle="Обычный 2">
      <calculatedColumnFormula>R6&amp;S6</calculatedColumnFormula>
    </tableColumn>
    <tableColumn id="2" name="L1/L" dataDxfId="3" dataCellStyle="Обычный 2"/>
    <tableColumn id="3" name="расположение" dataDxfId="2" dataCellStyle="Обычный 2"/>
    <tableColumn id="4" name="ηв" dataDxfId="1" dataCellStyle="Обычный 2"/>
    <tableColumn id="5" name="ηг" dataDxfId="0" dataCellStyle="Обычный 2">
      <calculatedColumnFormula>0.9093*EXP^(-0.039*n)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92D050"/>
  </sheetPr>
  <dimension ref="A1:I24"/>
  <sheetViews>
    <sheetView tabSelected="1" zoomScale="80" zoomScaleNormal="80" workbookViewId="0">
      <selection activeCell="C14" sqref="C14"/>
    </sheetView>
  </sheetViews>
  <sheetFormatPr defaultColWidth="9.140625" defaultRowHeight="16.5" x14ac:dyDescent="0.3"/>
  <cols>
    <col min="1" max="1" width="52.85546875" style="1" customWidth="1"/>
    <col min="2" max="2" width="14.28515625" style="1" customWidth="1"/>
    <col min="3" max="3" width="25.28515625" style="1" customWidth="1"/>
    <col min="4" max="4" width="21.28515625" style="1" customWidth="1"/>
    <col min="5" max="9" width="20.7109375" style="1" customWidth="1"/>
    <col min="10" max="16384" width="9.140625" style="1"/>
  </cols>
  <sheetData>
    <row r="1" spans="1:9" ht="20.25" x14ac:dyDescent="0.3">
      <c r="A1" s="68" t="s">
        <v>115</v>
      </c>
    </row>
    <row r="2" spans="1:9" ht="19.899999999999999" customHeight="1" x14ac:dyDescent="0.3">
      <c r="A2" s="88" t="s">
        <v>75</v>
      </c>
      <c r="B2" s="89"/>
      <c r="C2" s="89"/>
      <c r="D2" s="55"/>
      <c r="E2" s="88" t="s">
        <v>92</v>
      </c>
      <c r="F2" s="89"/>
      <c r="G2" s="89"/>
      <c r="H2" s="89"/>
      <c r="I2" s="89"/>
    </row>
    <row r="3" spans="1:9" ht="110.25" x14ac:dyDescent="0.3">
      <c r="A3" s="56" t="s">
        <v>185</v>
      </c>
      <c r="B3" s="56" t="s">
        <v>125</v>
      </c>
      <c r="C3" s="56" t="s">
        <v>186</v>
      </c>
      <c r="D3" s="55"/>
      <c r="E3" s="57" t="s">
        <v>187</v>
      </c>
      <c r="F3" s="57" t="s">
        <v>188</v>
      </c>
      <c r="G3" s="57" t="s">
        <v>189</v>
      </c>
      <c r="H3" s="57" t="s">
        <v>190</v>
      </c>
      <c r="I3" s="57" t="s">
        <v>191</v>
      </c>
    </row>
    <row r="4" spans="1:9" ht="19.899999999999999" customHeight="1" x14ac:dyDescent="0.3">
      <c r="A4" s="58" t="s">
        <v>0</v>
      </c>
      <c r="B4" s="57" t="s">
        <v>114</v>
      </c>
      <c r="C4" s="59">
        <v>3</v>
      </c>
      <c r="D4" s="55"/>
      <c r="E4" s="60">
        <f>$C$19*$C$23*$C$24*$C$4/($C$23*($C$4-$C$9+$C$15)+$C$24*($C$9-$C$15))</f>
        <v>228.49462365591398</v>
      </c>
      <c r="F4" s="60">
        <f>$C$20*$C$23</f>
        <v>6750</v>
      </c>
      <c r="G4" s="60">
        <f>(E4/(2*3.14159*$C$4))*(LN(2*$C$4/$C$5)+0.5*LN((4*$C$16+$C$4)/(4*$C$16-$C$4)))</f>
        <v>76.151138270704465</v>
      </c>
      <c r="H4" s="60">
        <f>($F$4/(2*3.14159*$C$10))*LN($C$10^2*(0.5*$C$11*$C$17))</f>
        <v>22.575814106062939</v>
      </c>
      <c r="I4" s="60">
        <f>$G$4*$H$4/($G$4*$C$22+$H$4*$C$21*$C$13)</f>
        <v>9.5945098971471214</v>
      </c>
    </row>
    <row r="5" spans="1:9" ht="19.899999999999999" customHeight="1" x14ac:dyDescent="0.3">
      <c r="A5" s="57" t="s">
        <v>81</v>
      </c>
      <c r="B5" s="57" t="s">
        <v>1</v>
      </c>
      <c r="C5" s="59">
        <v>1.6E-2</v>
      </c>
      <c r="D5" s="55"/>
      <c r="E5" s="91" t="s">
        <v>192</v>
      </c>
      <c r="F5" s="92"/>
      <c r="G5" s="90" t="str">
        <f>IF($I$4&lt;=$C$18,"Заземлитель выбран верно!", "Заземлитель не подходит,нужно изменить параметры!")</f>
        <v>Заземлитель не подходит,нужно изменить параметры!</v>
      </c>
      <c r="H5" s="90"/>
      <c r="I5" s="90"/>
    </row>
    <row r="6" spans="1:9" ht="19.899999999999999" customHeight="1" x14ac:dyDescent="0.3">
      <c r="A6" s="57" t="s">
        <v>93</v>
      </c>
      <c r="B6" s="57"/>
      <c r="C6" s="59">
        <v>2</v>
      </c>
      <c r="D6" s="55"/>
      <c r="E6" s="55"/>
      <c r="F6" s="55"/>
      <c r="G6" s="55"/>
      <c r="H6" s="55"/>
    </row>
    <row r="7" spans="1:9" ht="30" customHeight="1" x14ac:dyDescent="0.3">
      <c r="A7" s="57" t="s">
        <v>21</v>
      </c>
      <c r="B7" s="57"/>
      <c r="C7" s="59" t="s">
        <v>161</v>
      </c>
      <c r="D7" s="55"/>
      <c r="E7" s="55"/>
      <c r="F7" s="55"/>
      <c r="G7" s="55"/>
      <c r="H7" s="55"/>
      <c r="I7" s="55"/>
    </row>
    <row r="8" spans="1:9" ht="30" customHeight="1" x14ac:dyDescent="0.3">
      <c r="A8" s="57" t="s">
        <v>22</v>
      </c>
      <c r="B8" s="57"/>
      <c r="C8" s="59" t="s">
        <v>167</v>
      </c>
      <c r="D8" s="55"/>
      <c r="E8" s="55"/>
      <c r="F8" s="55"/>
      <c r="G8" s="55"/>
      <c r="H8" s="55"/>
      <c r="I8" s="55"/>
    </row>
    <row r="9" spans="1:9" ht="19.899999999999999" customHeight="1" x14ac:dyDescent="0.3">
      <c r="A9" s="57" t="s">
        <v>106</v>
      </c>
      <c r="B9" s="57" t="s">
        <v>122</v>
      </c>
      <c r="C9" s="59">
        <v>1.5</v>
      </c>
      <c r="D9" s="55"/>
      <c r="E9" s="55"/>
      <c r="F9" s="55"/>
      <c r="G9" s="55"/>
      <c r="H9" s="55"/>
      <c r="I9" s="55"/>
    </row>
    <row r="10" spans="1:9" ht="19.899999999999999" customHeight="1" x14ac:dyDescent="0.3">
      <c r="A10" s="57" t="s">
        <v>2</v>
      </c>
      <c r="B10" s="57" t="s">
        <v>86</v>
      </c>
      <c r="C10" s="59">
        <v>356</v>
      </c>
      <c r="D10" s="55"/>
      <c r="E10" s="55"/>
      <c r="F10" s="55"/>
      <c r="G10" s="55"/>
      <c r="H10" s="55"/>
      <c r="I10" s="55"/>
    </row>
    <row r="11" spans="1:9" ht="19.899999999999999" customHeight="1" x14ac:dyDescent="0.3">
      <c r="A11" s="57" t="s">
        <v>123</v>
      </c>
      <c r="B11" s="57" t="s">
        <v>124</v>
      </c>
      <c r="C11" s="61">
        <v>0.04</v>
      </c>
      <c r="D11" s="55"/>
      <c r="E11" s="55"/>
      <c r="F11" s="55"/>
      <c r="G11" s="55"/>
      <c r="H11" s="55"/>
      <c r="I11" s="55"/>
    </row>
    <row r="12" spans="1:9" ht="19.899999999999999" customHeight="1" x14ac:dyDescent="0.3">
      <c r="A12" s="57" t="s">
        <v>72</v>
      </c>
      <c r="B12" s="57"/>
      <c r="C12" s="69" t="s">
        <v>69</v>
      </c>
      <c r="D12" s="70"/>
      <c r="E12" s="55"/>
      <c r="F12" s="55"/>
      <c r="G12" s="55"/>
      <c r="H12" s="55"/>
      <c r="I12" s="55"/>
    </row>
    <row r="13" spans="1:9" ht="19.899999999999999" customHeight="1" x14ac:dyDescent="0.3">
      <c r="A13" s="57" t="s">
        <v>14</v>
      </c>
      <c r="B13" s="57" t="s">
        <v>178</v>
      </c>
      <c r="C13" s="66">
        <v>13</v>
      </c>
      <c r="D13" s="62"/>
      <c r="E13" s="55"/>
      <c r="F13" s="55"/>
      <c r="G13" s="55"/>
      <c r="H13" s="55"/>
      <c r="I13" s="55"/>
    </row>
    <row r="14" spans="1:9" ht="31.5" x14ac:dyDescent="0.3">
      <c r="A14" s="57" t="s">
        <v>17</v>
      </c>
      <c r="B14" s="57" t="s">
        <v>126</v>
      </c>
      <c r="C14" s="66">
        <v>1</v>
      </c>
      <c r="D14" s="62"/>
      <c r="E14" s="55"/>
      <c r="F14" s="55"/>
      <c r="G14" s="55"/>
      <c r="H14" s="55"/>
      <c r="I14" s="55"/>
    </row>
    <row r="15" spans="1:9" ht="19.899999999999999" customHeight="1" x14ac:dyDescent="0.3">
      <c r="A15" s="57" t="s">
        <v>3</v>
      </c>
      <c r="B15" s="63" t="s">
        <v>179</v>
      </c>
      <c r="C15" s="66">
        <v>0.7</v>
      </c>
      <c r="D15" s="62"/>
      <c r="E15" s="55"/>
      <c r="F15" s="55"/>
      <c r="G15" s="55"/>
      <c r="H15" s="55"/>
      <c r="I15" s="55"/>
    </row>
    <row r="16" spans="1:9" ht="19.899999999999999" customHeight="1" x14ac:dyDescent="0.3">
      <c r="A16" s="64" t="s">
        <v>4</v>
      </c>
      <c r="B16" s="65" t="s">
        <v>180</v>
      </c>
      <c r="C16" s="64">
        <f>(C4/2)+C15</f>
        <v>2.2000000000000002</v>
      </c>
      <c r="D16" s="62"/>
      <c r="E16" s="55"/>
      <c r="F16" s="55"/>
      <c r="G16" s="55"/>
      <c r="H16" s="55"/>
      <c r="I16" s="55"/>
    </row>
    <row r="17" spans="1:9" ht="19.899999999999999" customHeight="1" x14ac:dyDescent="0.3">
      <c r="A17" s="57" t="s">
        <v>9</v>
      </c>
      <c r="B17" s="65" t="s">
        <v>181</v>
      </c>
      <c r="C17" s="66">
        <v>0.7</v>
      </c>
      <c r="D17" s="62"/>
      <c r="E17" s="55"/>
      <c r="F17" s="55"/>
      <c r="G17" s="55"/>
      <c r="H17" s="55"/>
      <c r="I17" s="55"/>
    </row>
    <row r="18" spans="1:9" ht="19.899999999999999" customHeight="1" x14ac:dyDescent="0.3">
      <c r="A18" s="64" t="s">
        <v>18</v>
      </c>
      <c r="B18" s="65" t="s">
        <v>182</v>
      </c>
      <c r="C18" s="67">
        <v>4</v>
      </c>
      <c r="D18" s="62"/>
      <c r="E18" s="55"/>
      <c r="F18" s="55"/>
      <c r="G18" s="55"/>
      <c r="H18" s="55"/>
      <c r="I18" s="55"/>
    </row>
    <row r="19" spans="1:9" ht="19.899999999999999" customHeight="1" x14ac:dyDescent="0.3">
      <c r="A19" s="64" t="s">
        <v>5</v>
      </c>
      <c r="B19" s="65" t="s">
        <v>6</v>
      </c>
      <c r="C19" s="64">
        <f>IF($C$6=1,1.9,IF($C$6=2,1.7,IF($C$6=3,1.5,IF($C$6=4,1.3,""))))</f>
        <v>1.7</v>
      </c>
      <c r="D19" s="62"/>
      <c r="E19" s="55"/>
      <c r="F19" s="55"/>
      <c r="G19" s="55"/>
      <c r="H19" s="55"/>
      <c r="I19" s="55"/>
    </row>
    <row r="20" spans="1:9" ht="19.899999999999999" customHeight="1" x14ac:dyDescent="0.3">
      <c r="A20" s="64" t="s">
        <v>8</v>
      </c>
      <c r="B20" s="65" t="s">
        <v>7</v>
      </c>
      <c r="C20" s="64">
        <f>IF($C$6=1,4,IF($C$6=2,2.7,IF($C$6=3,2,IF($C$6=4,1.4,""))))</f>
        <v>2.7</v>
      </c>
      <c r="D20" s="62"/>
      <c r="E20" s="55"/>
      <c r="F20" s="55"/>
      <c r="G20" s="55"/>
      <c r="H20" s="55"/>
      <c r="I20" s="55"/>
    </row>
    <row r="21" spans="1:9" ht="19.899999999999999" customHeight="1" x14ac:dyDescent="0.3">
      <c r="A21" s="64" t="s">
        <v>10</v>
      </c>
      <c r="B21" s="65" t="s">
        <v>11</v>
      </c>
      <c r="C21" s="64">
        <f>VLOOKUP($C$14&amp;$C$12,K[],4,FALSE)</f>
        <v>0.52857043441438234</v>
      </c>
      <c r="D21" s="62"/>
      <c r="E21" s="55"/>
      <c r="F21" s="55"/>
      <c r="G21" s="55"/>
      <c r="H21" s="55"/>
      <c r="I21" s="55"/>
    </row>
    <row r="22" spans="1:9" ht="19.899999999999999" customHeight="1" x14ac:dyDescent="0.3">
      <c r="A22" s="64" t="s">
        <v>13</v>
      </c>
      <c r="B22" s="65" t="s">
        <v>12</v>
      </c>
      <c r="C22" s="64">
        <f>VLOOKUP($C$14&amp;$C$12,K[],5,FALSE)</f>
        <v>0.31588876290405477</v>
      </c>
      <c r="D22" s="62"/>
      <c r="E22" s="55"/>
      <c r="F22" s="55"/>
      <c r="G22" s="55"/>
      <c r="H22" s="55"/>
      <c r="I22" s="55"/>
    </row>
    <row r="23" spans="1:9" ht="19.899999999999999" customHeight="1" x14ac:dyDescent="0.3">
      <c r="A23" s="64" t="s">
        <v>19</v>
      </c>
      <c r="B23" s="65" t="s">
        <v>183</v>
      </c>
      <c r="C23" s="64">
        <f>SUMIFS(Grunt[Сопротивление],Grunt[Грунт],$C$7)</f>
        <v>2500</v>
      </c>
      <c r="D23" s="62"/>
      <c r="E23" s="55"/>
      <c r="F23" s="55"/>
      <c r="G23" s="55"/>
      <c r="H23" s="55"/>
      <c r="I23" s="55"/>
    </row>
    <row r="24" spans="1:9" ht="19.899999999999999" customHeight="1" x14ac:dyDescent="0.3">
      <c r="A24" s="64" t="s">
        <v>20</v>
      </c>
      <c r="B24" s="65" t="s">
        <v>184</v>
      </c>
      <c r="C24" s="64">
        <f>SUMIFS(Grunt[Сопротивление],Grunt[Грунт],$C$8)</f>
        <v>100</v>
      </c>
      <c r="D24" s="62"/>
      <c r="E24" s="55"/>
      <c r="F24" s="55"/>
      <c r="G24" s="55"/>
      <c r="H24" s="55"/>
      <c r="I24" s="55"/>
    </row>
  </sheetData>
  <mergeCells count="4">
    <mergeCell ref="A2:C2"/>
    <mergeCell ref="E2:I2"/>
    <mergeCell ref="G5:I5"/>
    <mergeCell ref="E5:F5"/>
  </mergeCells>
  <conditionalFormatting sqref="G5">
    <cfRule type="expression" dxfId="17" priority="1">
      <formula>#REF!&lt;=#REF!</formula>
    </cfRule>
    <cfRule type="expression" dxfId="16" priority="2">
      <formula>#REF!&gt;#REF!</formula>
    </cfRule>
  </conditionalFormatting>
  <dataValidations count="3">
    <dataValidation type="list" allowBlank="1" showInputMessage="1" showErrorMessage="1" sqref="C6">
      <formula1>"1,2,3,4"</formula1>
    </dataValidation>
    <dataValidation type="list" allowBlank="1" showInputMessage="1" showErrorMessage="1" sqref="C14">
      <formula1>"1,2,3"</formula1>
    </dataValidation>
    <dataValidation type="list" allowBlank="1" showInputMessage="1" showErrorMessage="1" sqref="C12">
      <formula1>"ряд,контур"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Грунты!$A$2:$A$50</xm:f>
          </x14:formula1>
          <xm:sqref>C7:C8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C000"/>
  </sheetPr>
  <dimension ref="A2:O15"/>
  <sheetViews>
    <sheetView zoomScale="85" zoomScaleNormal="85" workbookViewId="0">
      <selection activeCell="M6" sqref="M6"/>
    </sheetView>
  </sheetViews>
  <sheetFormatPr defaultColWidth="9.140625" defaultRowHeight="16.5" x14ac:dyDescent="0.3"/>
  <cols>
    <col min="1" max="1" width="19.5703125" style="73" customWidth="1"/>
    <col min="2" max="2" width="18.7109375" style="73" customWidth="1"/>
    <col min="3" max="3" width="21.85546875" style="73" customWidth="1"/>
    <col min="4" max="4" width="19.28515625" style="73" customWidth="1"/>
    <col min="5" max="5" width="20" style="73" customWidth="1"/>
    <col min="6" max="15" width="18.7109375" style="73" customWidth="1"/>
    <col min="16" max="16384" width="9.140625" style="73"/>
  </cols>
  <sheetData>
    <row r="2" spans="1:15" ht="17.25" thickBot="1" x14ac:dyDescent="0.35"/>
    <row r="3" spans="1:15" ht="24.75" customHeight="1" x14ac:dyDescent="0.3">
      <c r="A3" s="93" t="s">
        <v>75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78.75" x14ac:dyDescent="0.3">
      <c r="A4" s="74" t="s">
        <v>84</v>
      </c>
      <c r="B4" s="79" t="s">
        <v>93</v>
      </c>
      <c r="C4" s="79" t="s">
        <v>108</v>
      </c>
      <c r="D4" s="79" t="s">
        <v>107</v>
      </c>
      <c r="E4" s="79" t="s">
        <v>109</v>
      </c>
      <c r="F4" s="79" t="s">
        <v>81</v>
      </c>
      <c r="G4" s="79" t="s">
        <v>110</v>
      </c>
      <c r="H4" s="79" t="s">
        <v>106</v>
      </c>
      <c r="I4" s="79" t="s">
        <v>105</v>
      </c>
      <c r="J4" s="79" t="s">
        <v>111</v>
      </c>
      <c r="K4" s="79" t="s">
        <v>104</v>
      </c>
      <c r="L4" s="79" t="s">
        <v>103</v>
      </c>
      <c r="M4" s="79" t="s">
        <v>102</v>
      </c>
      <c r="N4" s="79" t="s">
        <v>101</v>
      </c>
      <c r="O4" s="80" t="s">
        <v>112</v>
      </c>
    </row>
    <row r="5" spans="1:15" ht="45.75" customHeight="1" x14ac:dyDescent="0.3">
      <c r="A5" s="74" t="s">
        <v>193</v>
      </c>
      <c r="B5" s="75" t="s">
        <v>116</v>
      </c>
      <c r="C5" s="75" t="s">
        <v>76</v>
      </c>
      <c r="D5" s="75" t="s">
        <v>79</v>
      </c>
      <c r="E5" s="75" t="s">
        <v>80</v>
      </c>
      <c r="F5" s="75" t="s">
        <v>82</v>
      </c>
      <c r="G5" s="75" t="s">
        <v>83</v>
      </c>
      <c r="H5" s="75" t="s">
        <v>85</v>
      </c>
      <c r="I5" s="75" t="s">
        <v>90</v>
      </c>
      <c r="J5" s="75" t="s">
        <v>91</v>
      </c>
      <c r="K5" s="75" t="s">
        <v>88</v>
      </c>
      <c r="L5" s="75" t="s">
        <v>89</v>
      </c>
      <c r="M5" s="75" t="s">
        <v>87</v>
      </c>
      <c r="N5" s="75" t="s">
        <v>86</v>
      </c>
      <c r="O5" s="76" t="s">
        <v>116</v>
      </c>
    </row>
    <row r="6" spans="1:15" ht="39" customHeight="1" thickBot="1" x14ac:dyDescent="0.35">
      <c r="A6" s="77" t="s">
        <v>77</v>
      </c>
      <c r="B6" s="86">
        <f>zona</f>
        <v>2</v>
      </c>
      <c r="C6" s="86">
        <f>Rд</f>
        <v>4</v>
      </c>
      <c r="D6" s="86">
        <f>ρ1</f>
        <v>2500</v>
      </c>
      <c r="E6" s="86">
        <f>ρ2</f>
        <v>100</v>
      </c>
      <c r="F6" s="86">
        <f>d</f>
        <v>1.6E-2</v>
      </c>
      <c r="G6" s="86">
        <f>lver</f>
        <v>3</v>
      </c>
      <c r="H6" s="86">
        <f>H</f>
        <v>1.5</v>
      </c>
      <c r="I6" s="86">
        <f>t</f>
        <v>0.7</v>
      </c>
      <c r="J6" s="86">
        <f>Tsr</f>
        <v>2.2000000000000002</v>
      </c>
      <c r="K6" s="86">
        <f>'Расчеты заземления'!C19</f>
        <v>1.7</v>
      </c>
      <c r="L6" s="86">
        <f>'Расчеты заземления'!C20</f>
        <v>2.7</v>
      </c>
      <c r="M6" s="86">
        <f>'Расчеты заземления'!C11</f>
        <v>0.04</v>
      </c>
      <c r="N6" s="86">
        <f>'Расчеты заземления'!C10</f>
        <v>356</v>
      </c>
      <c r="O6" s="87">
        <f>n</f>
        <v>13</v>
      </c>
    </row>
    <row r="7" spans="1:15" ht="24" customHeight="1" thickBot="1" x14ac:dyDescent="0.35"/>
    <row r="8" spans="1:15" ht="33" customHeight="1" x14ac:dyDescent="0.3">
      <c r="A8" s="96" t="s">
        <v>78</v>
      </c>
      <c r="B8" s="97"/>
      <c r="C8" s="97"/>
      <c r="D8" s="98"/>
      <c r="E8" s="96" t="s">
        <v>92</v>
      </c>
      <c r="F8" s="97"/>
      <c r="G8" s="97"/>
      <c r="H8" s="97"/>
      <c r="I8" s="98"/>
    </row>
    <row r="9" spans="1:15" ht="78.75" x14ac:dyDescent="0.3">
      <c r="A9" s="74" t="s">
        <v>84</v>
      </c>
      <c r="B9" s="79" t="s">
        <v>100</v>
      </c>
      <c r="C9" s="79" t="s">
        <v>99</v>
      </c>
      <c r="D9" s="80" t="s">
        <v>17</v>
      </c>
      <c r="E9" s="74" t="s">
        <v>73</v>
      </c>
      <c r="F9" s="79" t="s">
        <v>74</v>
      </c>
      <c r="G9" s="79" t="s">
        <v>98</v>
      </c>
      <c r="H9" s="79" t="s">
        <v>97</v>
      </c>
      <c r="I9" s="80" t="s">
        <v>96</v>
      </c>
    </row>
    <row r="10" spans="1:15" ht="85.5" customHeight="1" x14ac:dyDescent="0.3">
      <c r="A10" s="74" t="s">
        <v>194</v>
      </c>
      <c r="B10" s="75" t="s">
        <v>15</v>
      </c>
      <c r="C10" s="75" t="s">
        <v>16</v>
      </c>
      <c r="D10" s="76" t="s">
        <v>95</v>
      </c>
      <c r="E10" s="78" t="s">
        <v>196</v>
      </c>
      <c r="F10" s="75" t="s">
        <v>195</v>
      </c>
      <c r="G10" s="75" t="s">
        <v>197</v>
      </c>
      <c r="H10" s="75" t="s">
        <v>198</v>
      </c>
      <c r="I10" s="76" t="s">
        <v>199</v>
      </c>
    </row>
    <row r="11" spans="1:15" ht="24" customHeight="1" thickBot="1" x14ac:dyDescent="0.35">
      <c r="A11" s="77" t="s">
        <v>77</v>
      </c>
      <c r="B11" s="81">
        <f>'Расчеты заземления'!C21</f>
        <v>0.52857043441438234</v>
      </c>
      <c r="C11" s="81">
        <f>'Расчеты заземления'!C22</f>
        <v>0.31588876290405477</v>
      </c>
      <c r="D11" s="82">
        <f>'Расчеты заземления'!C14</f>
        <v>1</v>
      </c>
      <c r="E11" s="83">
        <f>'Расчеты заземления'!E4</f>
        <v>228.49462365591398</v>
      </c>
      <c r="F11" s="84">
        <f>'Расчеты заземления'!F4</f>
        <v>6750</v>
      </c>
      <c r="G11" s="84">
        <f>'Расчеты заземления'!G4</f>
        <v>76.151138270704465</v>
      </c>
      <c r="H11" s="84">
        <f>'Расчеты заземления'!H4</f>
        <v>22.575814106062939</v>
      </c>
      <c r="I11" s="85">
        <f>'Расчеты заземления'!I4</f>
        <v>9.5945098971471214</v>
      </c>
    </row>
    <row r="15" spans="1:15" x14ac:dyDescent="0.3">
      <c r="A15" s="73" t="s">
        <v>200</v>
      </c>
    </row>
  </sheetData>
  <dataConsolidate/>
  <mergeCells count="3">
    <mergeCell ref="A3:O3"/>
    <mergeCell ref="A8:D8"/>
    <mergeCell ref="E8:I8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3"/>
    </sheetView>
  </sheetViews>
  <sheetFormatPr defaultRowHeight="15" x14ac:dyDescent="0.25"/>
  <sheetData>
    <row r="1" spans="1:5" x14ac:dyDescent="0.25">
      <c r="A1" s="99" t="s">
        <v>92</v>
      </c>
      <c r="B1" s="100"/>
      <c r="C1" s="100"/>
      <c r="D1" s="100"/>
      <c r="E1" s="101"/>
    </row>
    <row r="2" spans="1:5" ht="180" x14ac:dyDescent="0.25">
      <c r="A2" s="71" t="s">
        <v>73</v>
      </c>
      <c r="B2" s="51" t="s">
        <v>74</v>
      </c>
      <c r="C2" s="51" t="s">
        <v>98</v>
      </c>
      <c r="D2" s="51" t="s">
        <v>97</v>
      </c>
      <c r="E2" s="72" t="s">
        <v>96</v>
      </c>
    </row>
    <row r="3" spans="1:5" ht="120" x14ac:dyDescent="0.25">
      <c r="A3" s="71" t="s">
        <v>119</v>
      </c>
      <c r="B3" s="51" t="s">
        <v>117</v>
      </c>
      <c r="C3" s="51" t="s">
        <v>120</v>
      </c>
      <c r="D3" s="51" t="s">
        <v>121</v>
      </c>
      <c r="E3" s="72" t="s">
        <v>118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50"/>
  <sheetViews>
    <sheetView workbookViewId="0">
      <selection activeCell="A6" sqref="A6"/>
    </sheetView>
  </sheetViews>
  <sheetFormatPr defaultRowHeight="15" x14ac:dyDescent="0.25"/>
  <cols>
    <col min="1" max="1" width="31.140625" customWidth="1"/>
    <col min="2" max="2" width="21.42578125" customWidth="1"/>
    <col min="6" max="6" width="9.140625" customWidth="1"/>
  </cols>
  <sheetData>
    <row r="1" spans="1:2" x14ac:dyDescent="0.25">
      <c r="A1" s="53" t="s">
        <v>128</v>
      </c>
      <c r="B1" s="54" t="s">
        <v>127</v>
      </c>
    </row>
    <row r="2" spans="1:2" x14ac:dyDescent="0.25">
      <c r="A2" t="s">
        <v>129</v>
      </c>
      <c r="B2" s="52">
        <v>1000</v>
      </c>
    </row>
    <row r="3" spans="1:2" x14ac:dyDescent="0.25">
      <c r="A3" t="s">
        <v>130</v>
      </c>
      <c r="B3" s="52">
        <v>2000</v>
      </c>
    </row>
    <row r="4" spans="1:2" x14ac:dyDescent="0.25">
      <c r="A4" t="s">
        <v>131</v>
      </c>
      <c r="B4" s="52">
        <v>4</v>
      </c>
    </row>
    <row r="5" spans="1:2" x14ac:dyDescent="0.25">
      <c r="A5" t="s">
        <v>132</v>
      </c>
      <c r="B5" s="52">
        <v>550</v>
      </c>
    </row>
    <row r="6" spans="1:2" x14ac:dyDescent="0.25">
      <c r="A6" t="s">
        <v>137</v>
      </c>
      <c r="B6" s="52">
        <v>750</v>
      </c>
    </row>
    <row r="7" spans="1:2" x14ac:dyDescent="0.25">
      <c r="A7" t="s">
        <v>139</v>
      </c>
      <c r="B7" s="52">
        <v>50000</v>
      </c>
    </row>
    <row r="8" spans="1:2" x14ac:dyDescent="0.25">
      <c r="A8" t="s">
        <v>138</v>
      </c>
      <c r="B8" s="52">
        <v>20000</v>
      </c>
    </row>
    <row r="9" spans="1:2" x14ac:dyDescent="0.25">
      <c r="A9" t="s">
        <v>136</v>
      </c>
      <c r="B9" s="52">
        <v>30</v>
      </c>
    </row>
    <row r="10" spans="1:2" x14ac:dyDescent="0.25">
      <c r="A10" t="s">
        <v>133</v>
      </c>
      <c r="B10" s="52">
        <v>0.2</v>
      </c>
    </row>
    <row r="11" spans="1:2" x14ac:dyDescent="0.25">
      <c r="A11" t="s">
        <v>134</v>
      </c>
      <c r="B11" s="52">
        <v>40</v>
      </c>
    </row>
    <row r="12" spans="1:2" x14ac:dyDescent="0.25">
      <c r="A12" t="s">
        <v>135</v>
      </c>
      <c r="B12" s="52">
        <v>50</v>
      </c>
    </row>
    <row r="13" spans="1:2" x14ac:dyDescent="0.25">
      <c r="A13" t="s">
        <v>140</v>
      </c>
      <c r="B13" s="52">
        <v>20</v>
      </c>
    </row>
    <row r="14" spans="1:2" x14ac:dyDescent="0.25">
      <c r="A14" t="s">
        <v>141</v>
      </c>
      <c r="B14" s="52">
        <v>60</v>
      </c>
    </row>
    <row r="15" spans="1:2" x14ac:dyDescent="0.25">
      <c r="A15" t="s">
        <v>142</v>
      </c>
      <c r="B15" s="52">
        <v>275</v>
      </c>
    </row>
    <row r="16" spans="1:2" x14ac:dyDescent="0.25">
      <c r="A16" t="s">
        <v>143</v>
      </c>
      <c r="B16" s="52">
        <v>300</v>
      </c>
    </row>
    <row r="17" spans="1:2" x14ac:dyDescent="0.25">
      <c r="A17" t="s">
        <v>144</v>
      </c>
      <c r="B17" s="52">
        <v>800</v>
      </c>
    </row>
    <row r="18" spans="1:2" x14ac:dyDescent="0.25">
      <c r="A18" t="s">
        <v>145</v>
      </c>
      <c r="B18" s="52">
        <v>5000</v>
      </c>
    </row>
    <row r="19" spans="1:2" x14ac:dyDescent="0.25">
      <c r="A19" t="s">
        <v>146</v>
      </c>
      <c r="B19" s="52">
        <v>14500</v>
      </c>
    </row>
    <row r="20" spans="1:2" x14ac:dyDescent="0.25">
      <c r="A20" t="s">
        <v>175</v>
      </c>
      <c r="B20" s="52">
        <v>0.5</v>
      </c>
    </row>
    <row r="21" spans="1:2" x14ac:dyDescent="0.25">
      <c r="A21" t="s">
        <v>147</v>
      </c>
      <c r="B21" s="52">
        <v>5500</v>
      </c>
    </row>
    <row r="22" spans="1:2" x14ac:dyDescent="0.25">
      <c r="A22" t="s">
        <v>148</v>
      </c>
      <c r="B22" s="52">
        <v>40</v>
      </c>
    </row>
    <row r="23" spans="1:2" x14ac:dyDescent="0.25">
      <c r="A23" t="s">
        <v>177</v>
      </c>
      <c r="B23" s="52">
        <v>150</v>
      </c>
    </row>
    <row r="24" spans="1:2" x14ac:dyDescent="0.25">
      <c r="A24" t="s">
        <v>149</v>
      </c>
      <c r="B24" s="52">
        <v>30</v>
      </c>
    </row>
    <row r="25" spans="1:2" x14ac:dyDescent="0.25">
      <c r="A25" t="s">
        <v>150</v>
      </c>
      <c r="B25" s="52">
        <v>150</v>
      </c>
    </row>
    <row r="26" spans="1:2" x14ac:dyDescent="0.25">
      <c r="A26" t="s">
        <v>151</v>
      </c>
      <c r="B26" s="52">
        <v>15000</v>
      </c>
    </row>
    <row r="27" spans="1:2" x14ac:dyDescent="0.25">
      <c r="A27" t="s">
        <v>152</v>
      </c>
      <c r="B27" s="52">
        <v>2.5</v>
      </c>
    </row>
    <row r="28" spans="1:2" x14ac:dyDescent="0.25">
      <c r="A28" t="s">
        <v>153</v>
      </c>
      <c r="B28" s="52">
        <v>250</v>
      </c>
    </row>
    <row r="29" spans="1:2" x14ac:dyDescent="0.25">
      <c r="A29" t="s">
        <v>154</v>
      </c>
      <c r="B29" s="52">
        <v>60</v>
      </c>
    </row>
    <row r="30" spans="1:2" x14ac:dyDescent="0.25">
      <c r="A30" t="s">
        <v>156</v>
      </c>
      <c r="B30" s="52">
        <v>50</v>
      </c>
    </row>
    <row r="31" spans="1:2" x14ac:dyDescent="0.25">
      <c r="A31" t="s">
        <v>155</v>
      </c>
      <c r="B31" s="52">
        <v>150</v>
      </c>
    </row>
    <row r="32" spans="1:2" x14ac:dyDescent="0.25">
      <c r="A32" t="s">
        <v>159</v>
      </c>
      <c r="B32" s="52">
        <v>250</v>
      </c>
    </row>
    <row r="33" spans="1:2" x14ac:dyDescent="0.25">
      <c r="A33" t="s">
        <v>160</v>
      </c>
      <c r="B33" s="52">
        <v>700</v>
      </c>
    </row>
    <row r="34" spans="1:2" x14ac:dyDescent="0.25">
      <c r="A34" t="s">
        <v>161</v>
      </c>
      <c r="B34" s="52">
        <v>2500</v>
      </c>
    </row>
    <row r="35" spans="1:2" x14ac:dyDescent="0.25">
      <c r="A35" t="s">
        <v>157</v>
      </c>
      <c r="B35" s="52">
        <v>30</v>
      </c>
    </row>
    <row r="36" spans="1:2" x14ac:dyDescent="0.25">
      <c r="A36" t="s">
        <v>158</v>
      </c>
      <c r="B36" s="52">
        <v>70</v>
      </c>
    </row>
    <row r="37" spans="1:2" x14ac:dyDescent="0.25">
      <c r="A37" t="s">
        <v>163</v>
      </c>
      <c r="B37" s="52">
        <v>1000</v>
      </c>
    </row>
    <row r="38" spans="1:2" x14ac:dyDescent="0.25">
      <c r="A38" t="s">
        <v>164</v>
      </c>
      <c r="B38" s="52">
        <v>40</v>
      </c>
    </row>
    <row r="39" spans="1:2" x14ac:dyDescent="0.25">
      <c r="A39" t="s">
        <v>169</v>
      </c>
      <c r="B39" s="52">
        <v>40</v>
      </c>
    </row>
    <row r="40" spans="1:2" x14ac:dyDescent="0.25">
      <c r="A40" t="s">
        <v>176</v>
      </c>
      <c r="B40" s="52">
        <v>55</v>
      </c>
    </row>
    <row r="41" spans="1:2" x14ac:dyDescent="0.25">
      <c r="A41" t="s">
        <v>165</v>
      </c>
      <c r="B41" s="52">
        <v>20</v>
      </c>
    </row>
    <row r="42" spans="1:2" x14ac:dyDescent="0.25">
      <c r="A42" t="s">
        <v>167</v>
      </c>
      <c r="B42" s="52">
        <v>100</v>
      </c>
    </row>
    <row r="43" spans="1:2" x14ac:dyDescent="0.25">
      <c r="A43" t="s">
        <v>168</v>
      </c>
      <c r="B43" s="52">
        <v>150</v>
      </c>
    </row>
    <row r="44" spans="1:2" x14ac:dyDescent="0.25">
      <c r="A44" t="s">
        <v>166</v>
      </c>
      <c r="B44" s="52">
        <v>30</v>
      </c>
    </row>
    <row r="45" spans="1:2" x14ac:dyDescent="0.25">
      <c r="A45" t="s">
        <v>162</v>
      </c>
      <c r="B45" s="52">
        <v>150</v>
      </c>
    </row>
    <row r="46" spans="1:2" x14ac:dyDescent="0.25">
      <c r="A46" t="s">
        <v>171</v>
      </c>
      <c r="B46" s="52">
        <v>50</v>
      </c>
    </row>
    <row r="47" spans="1:2" x14ac:dyDescent="0.25">
      <c r="A47" t="s">
        <v>170</v>
      </c>
      <c r="B47" s="52">
        <v>25</v>
      </c>
    </row>
    <row r="48" spans="1:2" x14ac:dyDescent="0.25">
      <c r="A48" t="s">
        <v>172</v>
      </c>
      <c r="B48" s="52">
        <v>60</v>
      </c>
    </row>
    <row r="49" spans="1:2" x14ac:dyDescent="0.25">
      <c r="A49" t="s">
        <v>173</v>
      </c>
      <c r="B49" s="52">
        <v>3000</v>
      </c>
    </row>
    <row r="50" spans="1:2" x14ac:dyDescent="0.25">
      <c r="A50" t="s">
        <v>174</v>
      </c>
      <c r="B50" s="52">
        <v>5000</v>
      </c>
    </row>
  </sheetData>
  <sortState ref="A2:B24">
    <sortCondition ref="A1"/>
  </sortState>
  <dataValidations disablePrompts="1" count="1">
    <dataValidation type="list" allowBlank="1" showInputMessage="1" showErrorMessage="1" sqref="E1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6"/>
  <sheetViews>
    <sheetView workbookViewId="0">
      <selection activeCell="C13" sqref="C13"/>
    </sheetView>
  </sheetViews>
  <sheetFormatPr defaultRowHeight="15" x14ac:dyDescent="0.25"/>
  <cols>
    <col min="1" max="1" width="55.85546875" customWidth="1"/>
    <col min="2" max="5" width="17.7109375" customWidth="1"/>
  </cols>
  <sheetData>
    <row r="1" spans="1:5" x14ac:dyDescent="0.25">
      <c r="A1" s="2" t="s">
        <v>23</v>
      </c>
    </row>
    <row r="3" spans="1:5" ht="15.75" thickBot="1" x14ac:dyDescent="0.3">
      <c r="A3" s="49" t="s">
        <v>58</v>
      </c>
      <c r="B3" s="44" t="s">
        <v>59</v>
      </c>
      <c r="C3" s="50" t="s">
        <v>60</v>
      </c>
      <c r="D3" s="50" t="s">
        <v>61</v>
      </c>
      <c r="E3" s="50" t="s">
        <v>62</v>
      </c>
    </row>
    <row r="4" spans="1:5" ht="15.75" thickBot="1" x14ac:dyDescent="0.3">
      <c r="A4" s="39" t="s">
        <v>24</v>
      </c>
      <c r="B4" s="37"/>
      <c r="C4" s="37" t="s">
        <v>48</v>
      </c>
      <c r="D4" s="38"/>
      <c r="E4" s="38"/>
    </row>
    <row r="5" spans="1:5" ht="15.75" thickBot="1" x14ac:dyDescent="0.3">
      <c r="A5" s="40" t="s">
        <v>25</v>
      </c>
      <c r="B5" s="3" t="s">
        <v>26</v>
      </c>
      <c r="C5" s="3" t="s">
        <v>27</v>
      </c>
      <c r="D5" s="3" t="s">
        <v>28</v>
      </c>
      <c r="E5" s="44" t="s">
        <v>29</v>
      </c>
    </row>
    <row r="6" spans="1:5" x14ac:dyDescent="0.25">
      <c r="A6" s="41"/>
      <c r="B6" s="4"/>
      <c r="C6" s="5"/>
      <c r="D6" s="5"/>
      <c r="E6" s="45"/>
    </row>
    <row r="7" spans="1:5" x14ac:dyDescent="0.25">
      <c r="A7" s="42" t="s">
        <v>30</v>
      </c>
      <c r="B7" s="6"/>
      <c r="C7" s="7"/>
      <c r="D7" s="7"/>
      <c r="E7" s="46"/>
    </row>
    <row r="8" spans="1:5" x14ac:dyDescent="0.25">
      <c r="A8" s="42"/>
      <c r="B8" s="12"/>
      <c r="C8" s="7"/>
      <c r="D8" s="7"/>
      <c r="E8" s="46"/>
    </row>
    <row r="9" spans="1:5" x14ac:dyDescent="0.25">
      <c r="A9" s="43" t="s">
        <v>31</v>
      </c>
      <c r="B9" s="13" t="s">
        <v>32</v>
      </c>
      <c r="C9" s="8" t="s">
        <v>33</v>
      </c>
      <c r="D9" s="9" t="s">
        <v>34</v>
      </c>
      <c r="E9" s="47" t="s">
        <v>35</v>
      </c>
    </row>
    <row r="10" spans="1:5" x14ac:dyDescent="0.25">
      <c r="A10" s="42"/>
      <c r="B10" s="12"/>
      <c r="C10" s="7"/>
      <c r="D10" s="7"/>
      <c r="E10" s="46"/>
    </row>
    <row r="11" spans="1:5" x14ac:dyDescent="0.25">
      <c r="A11" s="42" t="s">
        <v>36</v>
      </c>
      <c r="B11" s="13" t="s">
        <v>37</v>
      </c>
      <c r="C11" s="8" t="s">
        <v>38</v>
      </c>
      <c r="D11" s="9" t="s">
        <v>39</v>
      </c>
      <c r="E11" s="47" t="s">
        <v>40</v>
      </c>
    </row>
    <row r="12" spans="1:5" x14ac:dyDescent="0.25">
      <c r="A12" s="42"/>
      <c r="B12" s="12"/>
      <c r="C12" s="7"/>
      <c r="D12" s="7"/>
      <c r="E12" s="46"/>
    </row>
    <row r="13" spans="1:5" x14ac:dyDescent="0.25">
      <c r="A13" s="42" t="s">
        <v>41</v>
      </c>
      <c r="B13" s="12" t="s">
        <v>42</v>
      </c>
      <c r="C13" s="7" t="s">
        <v>43</v>
      </c>
      <c r="D13" s="10" t="s">
        <v>43</v>
      </c>
      <c r="E13" s="46" t="s">
        <v>44</v>
      </c>
    </row>
    <row r="14" spans="1:5" x14ac:dyDescent="0.25">
      <c r="A14" s="42"/>
      <c r="B14" s="12"/>
      <c r="C14" s="7"/>
      <c r="D14" s="7"/>
      <c r="E14" s="46"/>
    </row>
    <row r="15" spans="1:5" x14ac:dyDescent="0.25">
      <c r="A15" s="42" t="s">
        <v>45</v>
      </c>
      <c r="B15" s="12" t="s">
        <v>113</v>
      </c>
      <c r="C15" s="7" t="s">
        <v>46</v>
      </c>
      <c r="D15" s="10" t="s">
        <v>47</v>
      </c>
      <c r="E15" s="46">
        <v>0</v>
      </c>
    </row>
    <row r="16" spans="1:5" x14ac:dyDescent="0.25">
      <c r="A16" s="42"/>
      <c r="B16" s="14"/>
      <c r="C16" s="11"/>
      <c r="D16" s="11"/>
      <c r="E16" s="48"/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U99"/>
  <sheetViews>
    <sheetView workbookViewId="0">
      <selection activeCell="G20" sqref="G19:G20"/>
    </sheetView>
  </sheetViews>
  <sheetFormatPr defaultColWidth="9.140625" defaultRowHeight="12.75" x14ac:dyDescent="0.25"/>
  <cols>
    <col min="1" max="1" width="4.140625" style="15" customWidth="1"/>
    <col min="2" max="2" width="33.5703125" style="15" customWidth="1"/>
    <col min="3" max="3" width="22.28515625" style="15" customWidth="1"/>
    <col min="4" max="4" width="12.28515625" style="15" customWidth="1"/>
    <col min="5" max="5" width="10.140625" style="15" customWidth="1"/>
    <col min="6" max="6" width="10" style="15" customWidth="1"/>
    <col min="7" max="7" width="10.140625" style="15" customWidth="1"/>
    <col min="8" max="18" width="9.140625" style="15"/>
    <col min="19" max="19" width="16.140625" style="15" customWidth="1"/>
    <col min="20" max="16384" width="9.140625" style="15"/>
  </cols>
  <sheetData>
    <row r="2" spans="2:21" x14ac:dyDescent="0.25">
      <c r="B2" s="15" t="s">
        <v>66</v>
      </c>
    </row>
    <row r="3" spans="2:21" x14ac:dyDescent="0.25">
      <c r="B3" s="15" t="s">
        <v>56</v>
      </c>
    </row>
    <row r="4" spans="2:21" ht="13.5" thickBot="1" x14ac:dyDescent="0.3"/>
    <row r="5" spans="2:21" ht="26.25" thickBot="1" x14ac:dyDescent="0.3">
      <c r="B5" s="35" t="s">
        <v>94</v>
      </c>
      <c r="C5" s="34" t="s">
        <v>55</v>
      </c>
      <c r="D5" s="36" t="s">
        <v>54</v>
      </c>
      <c r="Q5" s="15" t="s">
        <v>71</v>
      </c>
      <c r="R5" s="15" t="s">
        <v>57</v>
      </c>
      <c r="S5" s="15" t="s">
        <v>70</v>
      </c>
      <c r="T5" s="24" t="s">
        <v>15</v>
      </c>
      <c r="U5" s="24" t="s">
        <v>16</v>
      </c>
    </row>
    <row r="6" spans="2:21" x14ac:dyDescent="0.25">
      <c r="B6" s="106">
        <v>1</v>
      </c>
      <c r="C6" s="32">
        <v>2</v>
      </c>
      <c r="D6" s="31">
        <v>0.85</v>
      </c>
      <c r="Q6" s="15" t="str">
        <f>R6&amp;S6</f>
        <v>1ряд</v>
      </c>
      <c r="R6" s="15">
        <v>1</v>
      </c>
      <c r="S6" s="15" t="s">
        <v>68</v>
      </c>
      <c r="T6" s="15">
        <f>1.0172*n^(-0.246)</f>
        <v>0.54122305307588059</v>
      </c>
      <c r="U6" s="15">
        <f>0.9093*EXP(1)^(-0.039*n)</f>
        <v>0.54767118130025139</v>
      </c>
    </row>
    <row r="7" spans="2:21" x14ac:dyDescent="0.25">
      <c r="B7" s="102"/>
      <c r="C7" s="20">
        <v>4</v>
      </c>
      <c r="D7" s="19">
        <v>0.73</v>
      </c>
      <c r="Q7" s="15" t="str">
        <f t="shared" ref="Q7:Q11" si="0">R7&amp;S7</f>
        <v>2ряд</v>
      </c>
      <c r="R7" s="15">
        <v>2</v>
      </c>
      <c r="S7" s="15" t="s">
        <v>68</v>
      </c>
      <c r="T7" s="15">
        <f>0.9927*n^(-0.132)</f>
        <v>0.70758317780610225</v>
      </c>
      <c r="U7" s="15">
        <f>1.0024*EXP(1)^(-0.029*n)</f>
        <v>0.68756227247337054</v>
      </c>
    </row>
    <row r="8" spans="2:21" x14ac:dyDescent="0.25">
      <c r="B8" s="102"/>
      <c r="C8" s="20">
        <v>6</v>
      </c>
      <c r="D8" s="19">
        <v>0.65</v>
      </c>
      <c r="Q8" s="15" t="str">
        <f t="shared" si="0"/>
        <v>3ряд</v>
      </c>
      <c r="R8" s="15">
        <v>3</v>
      </c>
      <c r="S8" s="15" t="s">
        <v>68</v>
      </c>
      <c r="T8" s="15">
        <f>1.0067*n^(-0.094)</f>
        <v>0.79102351390526415</v>
      </c>
      <c r="U8" s="15">
        <f>0.9922*EXP(1)^(-0.019*n)</f>
        <v>0.77504779612183161</v>
      </c>
    </row>
    <row r="9" spans="2:21" x14ac:dyDescent="0.25">
      <c r="B9" s="102"/>
      <c r="C9" s="20">
        <v>10</v>
      </c>
      <c r="D9" s="19">
        <v>0.59</v>
      </c>
      <c r="Q9" s="15" t="str">
        <f t="shared" si="0"/>
        <v>1контур</v>
      </c>
      <c r="R9" s="15">
        <v>1</v>
      </c>
      <c r="S9" s="15" t="s">
        <v>69</v>
      </c>
      <c r="T9" s="15">
        <f>0.8874*n^(-0.202)</f>
        <v>0.52857043441438234</v>
      </c>
      <c r="U9" s="15">
        <f>0.6528*n^(-0.283)</f>
        <v>0.31588876290405477</v>
      </c>
    </row>
    <row r="10" spans="2:21" ht="13.5" thickBot="1" x14ac:dyDescent="0.3">
      <c r="B10" s="102"/>
      <c r="C10" s="20">
        <v>20</v>
      </c>
      <c r="D10" s="19">
        <v>0.48</v>
      </c>
      <c r="Q10" s="15" t="str">
        <f t="shared" si="0"/>
        <v>2контур</v>
      </c>
      <c r="R10" s="15">
        <v>2</v>
      </c>
      <c r="S10" s="15" t="s">
        <v>69</v>
      </c>
      <c r="T10" s="15">
        <f>0.9147*n^(-0.124)</f>
        <v>0.66550251859079479</v>
      </c>
      <c r="U10" s="15">
        <f>0.755*n^(-0.261)</f>
        <v>0.38655183270943716</v>
      </c>
    </row>
    <row r="11" spans="2:21" x14ac:dyDescent="0.25">
      <c r="B11" s="106">
        <v>2</v>
      </c>
      <c r="C11" s="32">
        <v>2</v>
      </c>
      <c r="D11" s="31">
        <v>0.91</v>
      </c>
      <c r="Q11" s="15" t="str">
        <f t="shared" si="0"/>
        <v>3контур</v>
      </c>
      <c r="R11" s="15">
        <v>3</v>
      </c>
      <c r="S11" s="15" t="s">
        <v>69</v>
      </c>
      <c r="T11" s="15">
        <f>0.9585*n^(-0.098)</f>
        <v>0.74546227213132132</v>
      </c>
      <c r="U11" s="15">
        <f>0.9701*n^(-0.242)</f>
        <v>0.52148547122319155</v>
      </c>
    </row>
    <row r="12" spans="2:21" x14ac:dyDescent="0.25">
      <c r="B12" s="102"/>
      <c r="C12" s="20">
        <v>4</v>
      </c>
      <c r="D12" s="19">
        <v>0.83</v>
      </c>
    </row>
    <row r="13" spans="2:21" x14ac:dyDescent="0.25">
      <c r="B13" s="102"/>
      <c r="C13" s="20">
        <v>6</v>
      </c>
      <c r="D13" s="19">
        <v>0.77</v>
      </c>
    </row>
    <row r="14" spans="2:21" x14ac:dyDescent="0.25">
      <c r="B14" s="102"/>
      <c r="C14" s="20">
        <v>10</v>
      </c>
      <c r="D14" s="19">
        <v>0.74</v>
      </c>
    </row>
    <row r="15" spans="2:21" ht="18" customHeight="1" thickBot="1" x14ac:dyDescent="0.3">
      <c r="B15" s="102"/>
      <c r="C15" s="20">
        <v>20</v>
      </c>
      <c r="D15" s="19">
        <v>0.67</v>
      </c>
    </row>
    <row r="16" spans="2:21" x14ac:dyDescent="0.25">
      <c r="B16" s="107">
        <v>3</v>
      </c>
      <c r="C16" s="32">
        <v>2</v>
      </c>
      <c r="D16" s="29">
        <v>0.94</v>
      </c>
    </row>
    <row r="17" spans="2:4" x14ac:dyDescent="0.25">
      <c r="B17" s="102"/>
      <c r="C17" s="20">
        <v>4</v>
      </c>
      <c r="D17" s="19">
        <v>0.89</v>
      </c>
    </row>
    <row r="18" spans="2:4" x14ac:dyDescent="0.25">
      <c r="B18" s="102"/>
      <c r="C18" s="20">
        <v>6</v>
      </c>
      <c r="D18" s="19">
        <v>0.85</v>
      </c>
    </row>
    <row r="19" spans="2:4" x14ac:dyDescent="0.25">
      <c r="B19" s="102"/>
      <c r="C19" s="20">
        <v>10</v>
      </c>
      <c r="D19" s="19">
        <v>0.81</v>
      </c>
    </row>
    <row r="20" spans="2:4" x14ac:dyDescent="0.25">
      <c r="B20" s="102"/>
      <c r="C20" s="20">
        <v>20</v>
      </c>
      <c r="D20" s="19">
        <v>0.76</v>
      </c>
    </row>
    <row r="21" spans="2:4" x14ac:dyDescent="0.25">
      <c r="B21" s="25"/>
      <c r="C21" s="25"/>
      <c r="D21" s="25"/>
    </row>
    <row r="22" spans="2:4" x14ac:dyDescent="0.25">
      <c r="B22" s="15" t="s">
        <v>67</v>
      </c>
    </row>
    <row r="23" spans="2:4" x14ac:dyDescent="0.25">
      <c r="B23" s="15" t="s">
        <v>56</v>
      </c>
    </row>
    <row r="24" spans="2:4" ht="13.5" thickBot="1" x14ac:dyDescent="0.3"/>
    <row r="25" spans="2:4" ht="26.25" thickBot="1" x14ac:dyDescent="0.3">
      <c r="B25" s="35" t="s">
        <v>94</v>
      </c>
      <c r="C25" s="34" t="s">
        <v>55</v>
      </c>
      <c r="D25" s="33" t="s">
        <v>54</v>
      </c>
    </row>
    <row r="26" spans="2:4" x14ac:dyDescent="0.25">
      <c r="B26" s="108">
        <v>1</v>
      </c>
      <c r="C26" s="32">
        <v>4</v>
      </c>
      <c r="D26" s="31">
        <v>0.69</v>
      </c>
    </row>
    <row r="27" spans="2:4" x14ac:dyDescent="0.25">
      <c r="B27" s="109"/>
      <c r="C27" s="20">
        <v>6</v>
      </c>
      <c r="D27" s="19">
        <v>0.61</v>
      </c>
    </row>
    <row r="28" spans="2:4" x14ac:dyDescent="0.25">
      <c r="B28" s="109"/>
      <c r="C28" s="20">
        <v>10</v>
      </c>
      <c r="D28" s="19">
        <v>0.56000000000000005</v>
      </c>
    </row>
    <row r="29" spans="2:4" x14ac:dyDescent="0.25">
      <c r="B29" s="109"/>
      <c r="C29" s="20">
        <v>20</v>
      </c>
      <c r="D29" s="19">
        <v>0.47</v>
      </c>
    </row>
    <row r="30" spans="2:4" x14ac:dyDescent="0.25">
      <c r="B30" s="109"/>
      <c r="C30" s="20">
        <v>40</v>
      </c>
      <c r="D30" s="19">
        <v>0.41</v>
      </c>
    </row>
    <row r="31" spans="2:4" x14ac:dyDescent="0.25">
      <c r="B31" s="109"/>
      <c r="C31" s="20">
        <v>60</v>
      </c>
      <c r="D31" s="19">
        <v>0.39</v>
      </c>
    </row>
    <row r="32" spans="2:4" ht="13.5" thickBot="1" x14ac:dyDescent="0.3">
      <c r="B32" s="110"/>
      <c r="C32" s="17">
        <v>100</v>
      </c>
      <c r="D32" s="16">
        <v>0.36</v>
      </c>
    </row>
    <row r="33" spans="2:4" x14ac:dyDescent="0.25">
      <c r="B33" s="108">
        <v>2</v>
      </c>
      <c r="C33" s="32">
        <v>4</v>
      </c>
      <c r="D33" s="31">
        <v>0.78</v>
      </c>
    </row>
    <row r="34" spans="2:4" x14ac:dyDescent="0.25">
      <c r="B34" s="109"/>
      <c r="C34" s="20">
        <v>6</v>
      </c>
      <c r="D34" s="19">
        <v>0.73</v>
      </c>
    </row>
    <row r="35" spans="2:4" x14ac:dyDescent="0.25">
      <c r="B35" s="109"/>
      <c r="C35" s="20">
        <v>10</v>
      </c>
      <c r="D35" s="19">
        <v>0.68</v>
      </c>
    </row>
    <row r="36" spans="2:4" x14ac:dyDescent="0.25">
      <c r="B36" s="109"/>
      <c r="C36" s="20">
        <v>20</v>
      </c>
      <c r="D36" s="19">
        <v>0.63</v>
      </c>
    </row>
    <row r="37" spans="2:4" x14ac:dyDescent="0.25">
      <c r="B37" s="109"/>
      <c r="C37" s="20">
        <v>40</v>
      </c>
      <c r="D37" s="19">
        <v>0.57999999999999996</v>
      </c>
    </row>
    <row r="38" spans="2:4" x14ac:dyDescent="0.25">
      <c r="B38" s="109"/>
      <c r="C38" s="20">
        <v>60</v>
      </c>
      <c r="D38" s="19">
        <v>0.55000000000000004</v>
      </c>
    </row>
    <row r="39" spans="2:4" ht="13.5" thickBot="1" x14ac:dyDescent="0.3">
      <c r="B39" s="110"/>
      <c r="C39" s="17">
        <v>100</v>
      </c>
      <c r="D39" s="16">
        <v>0.52</v>
      </c>
    </row>
    <row r="40" spans="2:4" x14ac:dyDescent="0.25">
      <c r="B40" s="109">
        <v>3</v>
      </c>
      <c r="C40" s="30">
        <v>4</v>
      </c>
      <c r="D40" s="29">
        <v>0.85</v>
      </c>
    </row>
    <row r="41" spans="2:4" x14ac:dyDescent="0.25">
      <c r="B41" s="109"/>
      <c r="C41" s="20">
        <v>6</v>
      </c>
      <c r="D41" s="19">
        <v>0.8</v>
      </c>
    </row>
    <row r="42" spans="2:4" x14ac:dyDescent="0.25">
      <c r="B42" s="109"/>
      <c r="C42" s="20">
        <v>10</v>
      </c>
      <c r="D42" s="19">
        <v>0.76</v>
      </c>
    </row>
    <row r="43" spans="2:4" x14ac:dyDescent="0.25">
      <c r="B43" s="109"/>
      <c r="C43" s="20">
        <v>20</v>
      </c>
      <c r="D43" s="19">
        <v>0.71</v>
      </c>
    </row>
    <row r="44" spans="2:4" x14ac:dyDescent="0.25">
      <c r="B44" s="109"/>
      <c r="C44" s="20">
        <v>40</v>
      </c>
      <c r="D44" s="19">
        <v>0.66</v>
      </c>
    </row>
    <row r="45" spans="2:4" x14ac:dyDescent="0.25">
      <c r="B45" s="109"/>
      <c r="C45" s="20">
        <v>60</v>
      </c>
      <c r="D45" s="19">
        <v>0.64</v>
      </c>
    </row>
    <row r="46" spans="2:4" ht="13.5" thickBot="1" x14ac:dyDescent="0.3">
      <c r="B46" s="110"/>
      <c r="C46" s="17">
        <v>100</v>
      </c>
      <c r="D46" s="16">
        <v>0.62</v>
      </c>
    </row>
    <row r="47" spans="2:4" x14ac:dyDescent="0.25">
      <c r="B47" s="25"/>
      <c r="C47" s="25"/>
      <c r="D47" s="25"/>
    </row>
    <row r="56" spans="2:10" x14ac:dyDescent="0.25">
      <c r="B56" s="25"/>
      <c r="C56" s="25"/>
      <c r="D56" s="24"/>
      <c r="E56" s="24"/>
      <c r="F56" s="24"/>
      <c r="G56" s="24"/>
      <c r="H56" s="24"/>
    </row>
    <row r="57" spans="2:10" x14ac:dyDescent="0.25">
      <c r="B57" s="15" t="s">
        <v>63</v>
      </c>
    </row>
    <row r="58" spans="2:10" ht="13.5" thickBot="1" x14ac:dyDescent="0.3"/>
    <row r="59" spans="2:10" ht="26.25" thickBot="1" x14ac:dyDescent="0.3">
      <c r="B59" s="35" t="s">
        <v>94</v>
      </c>
      <c r="C59" s="103" t="s">
        <v>50</v>
      </c>
      <c r="D59" s="104"/>
      <c r="E59" s="104"/>
      <c r="F59" s="104"/>
      <c r="G59" s="104"/>
      <c r="H59" s="104"/>
      <c r="I59" s="104"/>
      <c r="J59" s="105"/>
    </row>
    <row r="60" spans="2:10" x14ac:dyDescent="0.25">
      <c r="B60" s="22"/>
      <c r="C60" s="20">
        <v>2</v>
      </c>
      <c r="D60" s="20">
        <v>4</v>
      </c>
      <c r="E60" s="20">
        <v>6</v>
      </c>
      <c r="F60" s="20">
        <v>10</v>
      </c>
      <c r="G60" s="20">
        <v>20</v>
      </c>
      <c r="H60" s="20"/>
      <c r="I60" s="20"/>
      <c r="J60" s="19"/>
    </row>
    <row r="61" spans="2:10" x14ac:dyDescent="0.25">
      <c r="B61" s="21">
        <v>1</v>
      </c>
      <c r="C61" s="20">
        <v>0.85</v>
      </c>
      <c r="D61" s="20">
        <v>0.77</v>
      </c>
      <c r="E61" s="20">
        <v>0.72</v>
      </c>
      <c r="F61" s="20">
        <v>0.62</v>
      </c>
      <c r="G61" s="20">
        <v>0.42</v>
      </c>
      <c r="H61" s="20"/>
      <c r="I61" s="20"/>
      <c r="J61" s="19"/>
    </row>
    <row r="62" spans="2:10" x14ac:dyDescent="0.25">
      <c r="B62" s="21">
        <v>2</v>
      </c>
      <c r="C62" s="20">
        <v>0.94</v>
      </c>
      <c r="D62" s="20">
        <v>0.9</v>
      </c>
      <c r="E62" s="20">
        <v>0.84</v>
      </c>
      <c r="F62" s="20">
        <v>0.75</v>
      </c>
      <c r="G62" s="20">
        <v>0.56000000000000005</v>
      </c>
      <c r="H62" s="20"/>
      <c r="I62" s="20"/>
      <c r="J62" s="19"/>
    </row>
    <row r="63" spans="2:10" ht="13.5" thickBot="1" x14ac:dyDescent="0.3">
      <c r="B63" s="18">
        <v>3</v>
      </c>
      <c r="C63" s="17">
        <v>0.96</v>
      </c>
      <c r="D63" s="17">
        <v>0.92</v>
      </c>
      <c r="E63" s="17">
        <v>0.88</v>
      </c>
      <c r="F63" s="17">
        <v>0.82</v>
      </c>
      <c r="G63" s="17">
        <v>0.68</v>
      </c>
      <c r="H63" s="17"/>
      <c r="I63" s="17"/>
      <c r="J63" s="16"/>
    </row>
    <row r="64" spans="2:10" x14ac:dyDescent="0.25">
      <c r="B64" s="23"/>
      <c r="C64" s="23"/>
      <c r="D64" s="23"/>
      <c r="E64" s="23"/>
      <c r="F64" s="23"/>
      <c r="G64" s="23"/>
      <c r="H64" s="23"/>
      <c r="I64" s="23"/>
      <c r="J64" s="23"/>
    </row>
    <row r="65" spans="2:10" x14ac:dyDescent="0.25">
      <c r="B65" s="15" t="s">
        <v>64</v>
      </c>
    </row>
    <row r="66" spans="2:10" ht="13.5" thickBot="1" x14ac:dyDescent="0.3"/>
    <row r="67" spans="2:10" ht="26.25" thickBot="1" x14ac:dyDescent="0.3">
      <c r="B67" s="35" t="s">
        <v>94</v>
      </c>
      <c r="C67" s="103" t="s">
        <v>49</v>
      </c>
      <c r="D67" s="104"/>
      <c r="E67" s="104"/>
      <c r="F67" s="104"/>
      <c r="G67" s="104"/>
      <c r="H67" s="104"/>
      <c r="I67" s="104"/>
      <c r="J67" s="105"/>
    </row>
    <row r="68" spans="2:10" x14ac:dyDescent="0.25">
      <c r="B68" s="22"/>
      <c r="C68" s="20">
        <v>2</v>
      </c>
      <c r="D68" s="20">
        <v>4</v>
      </c>
      <c r="E68" s="20">
        <v>6</v>
      </c>
      <c r="F68" s="20">
        <v>10</v>
      </c>
      <c r="G68" s="20">
        <v>20</v>
      </c>
      <c r="H68" s="20">
        <v>40</v>
      </c>
      <c r="I68" s="20">
        <v>60</v>
      </c>
      <c r="J68" s="19">
        <v>100</v>
      </c>
    </row>
    <row r="69" spans="2:10" x14ac:dyDescent="0.25">
      <c r="B69" s="21">
        <v>1</v>
      </c>
      <c r="C69" s="20"/>
      <c r="D69" s="20">
        <v>0.45</v>
      </c>
      <c r="E69" s="20">
        <v>0.4</v>
      </c>
      <c r="F69" s="20">
        <v>0.34</v>
      </c>
      <c r="G69" s="20">
        <v>0.27</v>
      </c>
      <c r="H69" s="20">
        <v>0.22</v>
      </c>
      <c r="I69" s="20">
        <v>0.2</v>
      </c>
      <c r="J69" s="19">
        <v>0.19</v>
      </c>
    </row>
    <row r="70" spans="2:10" x14ac:dyDescent="0.25">
      <c r="B70" s="21">
        <v>2</v>
      </c>
      <c r="C70" s="20"/>
      <c r="D70" s="20">
        <v>0.55000000000000004</v>
      </c>
      <c r="E70" s="20">
        <v>0.48</v>
      </c>
      <c r="F70" s="20">
        <v>0.4</v>
      </c>
      <c r="G70" s="20">
        <v>0.32</v>
      </c>
      <c r="H70" s="20">
        <v>0.28999999999999998</v>
      </c>
      <c r="I70" s="20">
        <v>0.27</v>
      </c>
      <c r="J70" s="19">
        <v>0.23</v>
      </c>
    </row>
    <row r="71" spans="2:10" ht="13.5" thickBot="1" x14ac:dyDescent="0.3">
      <c r="B71" s="18">
        <v>3</v>
      </c>
      <c r="C71" s="17"/>
      <c r="D71" s="17">
        <v>0.7</v>
      </c>
      <c r="E71" s="17">
        <v>0.64</v>
      </c>
      <c r="F71" s="17">
        <v>0.56000000000000005</v>
      </c>
      <c r="G71" s="17">
        <v>0.45</v>
      </c>
      <c r="H71" s="17">
        <v>0.39</v>
      </c>
      <c r="I71" s="17">
        <v>0.36</v>
      </c>
      <c r="J71" s="16">
        <v>0.33</v>
      </c>
    </row>
    <row r="86" spans="2:8" ht="13.5" thickBot="1" x14ac:dyDescent="0.3">
      <c r="B86" s="15" t="s">
        <v>65</v>
      </c>
    </row>
    <row r="87" spans="2:8" x14ac:dyDescent="0.25">
      <c r="B87" s="28" t="s">
        <v>53</v>
      </c>
      <c r="C87" s="27" t="s">
        <v>52</v>
      </c>
      <c r="D87" s="27" t="s">
        <v>51</v>
      </c>
      <c r="E87" s="27"/>
      <c r="F87" s="27"/>
      <c r="G87" s="27"/>
      <c r="H87" s="26"/>
    </row>
    <row r="88" spans="2:8" x14ac:dyDescent="0.25">
      <c r="B88" s="22"/>
      <c r="C88" s="20"/>
      <c r="D88" s="20">
        <v>1</v>
      </c>
      <c r="E88" s="20">
        <v>2.5</v>
      </c>
      <c r="F88" s="20">
        <v>5</v>
      </c>
      <c r="G88" s="20">
        <v>10</v>
      </c>
      <c r="H88" s="20">
        <v>15</v>
      </c>
    </row>
    <row r="89" spans="2:8" x14ac:dyDescent="0.25">
      <c r="B89" s="102">
        <v>15</v>
      </c>
      <c r="C89" s="20">
        <v>2</v>
      </c>
      <c r="D89" s="20">
        <v>0.63</v>
      </c>
      <c r="E89" s="20">
        <v>0.75</v>
      </c>
      <c r="F89" s="20">
        <v>0.83</v>
      </c>
      <c r="G89" s="20">
        <v>0.92</v>
      </c>
      <c r="H89" s="19">
        <v>0.96</v>
      </c>
    </row>
    <row r="90" spans="2:8" x14ac:dyDescent="0.25">
      <c r="B90" s="102"/>
      <c r="C90" s="20">
        <v>5</v>
      </c>
      <c r="D90" s="20">
        <v>0.37</v>
      </c>
      <c r="E90" s="20">
        <v>0.49</v>
      </c>
      <c r="F90" s="20">
        <v>0.6</v>
      </c>
      <c r="G90" s="20">
        <v>0.73</v>
      </c>
      <c r="H90" s="19">
        <v>0.79</v>
      </c>
    </row>
    <row r="91" spans="2:8" x14ac:dyDescent="0.25">
      <c r="B91" s="102"/>
      <c r="C91" s="20">
        <v>10</v>
      </c>
      <c r="D91" s="20">
        <v>0.25</v>
      </c>
      <c r="E91" s="20">
        <v>0.37</v>
      </c>
      <c r="F91" s="20">
        <v>0.49</v>
      </c>
      <c r="G91" s="20">
        <v>0.64</v>
      </c>
      <c r="H91" s="19">
        <v>0.72</v>
      </c>
    </row>
    <row r="92" spans="2:8" x14ac:dyDescent="0.25">
      <c r="B92" s="102"/>
      <c r="C92" s="20">
        <v>20</v>
      </c>
      <c r="D92" s="20">
        <v>0.16</v>
      </c>
      <c r="E92" s="20">
        <v>0.27</v>
      </c>
      <c r="F92" s="20">
        <v>0.39</v>
      </c>
      <c r="G92" s="20">
        <v>0.56999999999999995</v>
      </c>
      <c r="H92" s="19">
        <v>0.64</v>
      </c>
    </row>
    <row r="93" spans="2:8" x14ac:dyDescent="0.25">
      <c r="B93" s="102">
        <v>25</v>
      </c>
      <c r="C93" s="20">
        <v>5</v>
      </c>
      <c r="D93" s="20">
        <v>0.35</v>
      </c>
      <c r="E93" s="20">
        <v>0.45</v>
      </c>
      <c r="F93" s="20">
        <v>0.55000000000000004</v>
      </c>
      <c r="G93" s="20">
        <v>0.66</v>
      </c>
      <c r="H93" s="19">
        <v>0.73</v>
      </c>
    </row>
    <row r="94" spans="2:8" x14ac:dyDescent="0.25">
      <c r="B94" s="102"/>
      <c r="C94" s="20">
        <v>10</v>
      </c>
      <c r="D94" s="20">
        <v>0.25</v>
      </c>
      <c r="E94" s="20">
        <v>0.31</v>
      </c>
      <c r="F94" s="20">
        <v>0.43</v>
      </c>
      <c r="G94" s="20">
        <v>0.56999999999999995</v>
      </c>
      <c r="H94" s="19">
        <v>0.66</v>
      </c>
    </row>
    <row r="95" spans="2:8" x14ac:dyDescent="0.25">
      <c r="B95" s="102"/>
      <c r="C95" s="20">
        <v>20</v>
      </c>
      <c r="D95" s="20">
        <v>0.14000000000000001</v>
      </c>
      <c r="E95" s="20">
        <v>0.23</v>
      </c>
      <c r="F95" s="20">
        <v>0.33</v>
      </c>
      <c r="G95" s="20">
        <v>0.47</v>
      </c>
      <c r="H95" s="19">
        <v>0.56999999999999995</v>
      </c>
    </row>
    <row r="96" spans="2:8" x14ac:dyDescent="0.25">
      <c r="B96" s="102">
        <v>50</v>
      </c>
      <c r="C96" s="20">
        <v>2</v>
      </c>
      <c r="D96" s="20">
        <v>0.6</v>
      </c>
      <c r="E96" s="20">
        <v>0.69</v>
      </c>
      <c r="F96" s="20">
        <v>0.78</v>
      </c>
      <c r="G96" s="20">
        <v>0.88</v>
      </c>
      <c r="H96" s="19">
        <v>0.93</v>
      </c>
    </row>
    <row r="97" spans="2:8" x14ac:dyDescent="0.25">
      <c r="B97" s="102"/>
      <c r="C97" s="20">
        <v>5</v>
      </c>
      <c r="D97" s="20">
        <v>0.33</v>
      </c>
      <c r="E97" s="20">
        <v>0.4</v>
      </c>
      <c r="F97" s="20">
        <v>0.48</v>
      </c>
      <c r="G97" s="20">
        <v>0.57999999999999996</v>
      </c>
      <c r="H97" s="19">
        <v>0.65</v>
      </c>
    </row>
    <row r="98" spans="2:8" x14ac:dyDescent="0.25">
      <c r="B98" s="102"/>
      <c r="C98" s="20">
        <v>10</v>
      </c>
      <c r="D98" s="20">
        <v>0.2</v>
      </c>
      <c r="E98" s="20">
        <v>0.27</v>
      </c>
      <c r="F98" s="20">
        <v>0.35</v>
      </c>
      <c r="G98" s="20">
        <v>0.46</v>
      </c>
      <c r="H98" s="19">
        <v>0.53</v>
      </c>
    </row>
    <row r="99" spans="2:8" x14ac:dyDescent="0.25">
      <c r="B99" s="102"/>
      <c r="C99" s="20">
        <v>20</v>
      </c>
      <c r="D99" s="20">
        <v>0.12</v>
      </c>
      <c r="E99" s="20">
        <v>0.19</v>
      </c>
      <c r="F99" s="20">
        <v>0.25</v>
      </c>
      <c r="G99" s="20">
        <v>0.36</v>
      </c>
      <c r="H99" s="19">
        <v>0.44</v>
      </c>
    </row>
  </sheetData>
  <mergeCells count="11">
    <mergeCell ref="B96:B99"/>
    <mergeCell ref="C59:J59"/>
    <mergeCell ref="C67:J67"/>
    <mergeCell ref="B6:B10"/>
    <mergeCell ref="B11:B15"/>
    <mergeCell ref="B16:B20"/>
    <mergeCell ref="B93:B95"/>
    <mergeCell ref="B26:B32"/>
    <mergeCell ref="B33:B39"/>
    <mergeCell ref="B40:B46"/>
    <mergeCell ref="B89:B9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troBaseFullName xmlns="0b29d19c-4397-4966-8390-24542e2f9528" xsi:nil="true"/>
    <SPDocTitleTemp xmlns="0b29d19c-4397-4966-8390-24542e2f9528" xsi:nil="true"/>
    <VitroBaseDocType xmlns="0b29d19c-4397-4966-8390-24542e2f9528" xsi:nil="true"/>
    <IconOverlay xmlns="http://schemas.microsoft.com/sharepoint/v4" xsi:nil="true"/>
    <VitroPrjDocStatus xmlns="0b29d19c-4397-4966-8390-24542e2f9528" xsi:nil="true"/>
    <PercentComplete xmlns="http://schemas.microsoft.com/sharepoint/v3" xsi:nil="true"/>
    <VitroBaseDocName xmlns="0b29d19c-4397-4966-8390-24542e2f9528">1001-PIOS--</VitroBaseDocName>
    <VitroBaseDocCode xmlns="0b29d19c-4397-4966-8390-24542e2f9528">1001-ИОС-</VitroBaseDocCode>
  </documentManagement>
</p:properties>
</file>

<file path=customXml/item2.xml><?xml version="1.0" encoding="utf-8"?>
<?mso-contentType ?>
<FormTemplates xmlns="http://schemas.microsoft.com/sharepoint/v3/contenttype/forms">
  <Display>VitroCalcFieldListForm</Display>
  <Edit>VitroCalcFieldListForm</Edit>
  <New>VitroCalcFieldListForm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 проекта" ma:contentTypeID="0x010100DBAC1E2809B5DE4B8E384D94DC8B1D8B008E865033965E9245A10784962288DB1D" ma:contentTypeVersion="18" ma:contentTypeDescription="" ma:contentTypeScope="" ma:versionID="323ac943d8f39fab85c614bcbcbdc054">
  <xsd:schema xmlns:xsd="http://www.w3.org/2001/XMLSchema" xmlns:xs="http://www.w3.org/2001/XMLSchema" xmlns:p="http://schemas.microsoft.com/office/2006/metadata/properties" xmlns:ns1="http://schemas.microsoft.com/sharepoint/v3" xmlns:ns2="0b29d19c-4397-4966-8390-24542e2f9528" xmlns:ns3="http://schemas.microsoft.com/sharepoint/v4" targetNamespace="http://schemas.microsoft.com/office/2006/metadata/properties" ma:root="true" ma:fieldsID="f2a8d249fc7f99aab0ab7f95fa84208b" ns1:_="" ns2:_="" ns3:_="">
    <xsd:import namespace="http://schemas.microsoft.com/sharepoint/v3"/>
    <xsd:import namespace="0b29d19c-4397-4966-8390-24542e2f952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VitroBaseFullName" minOccurs="0"/>
                <xsd:element ref="ns2:VitroBaseDocType" minOccurs="0"/>
                <xsd:element ref="ns2:VitroBaseDocName" minOccurs="0"/>
                <xsd:element ref="ns1:PercentComplete" minOccurs="0"/>
                <xsd:element ref="ns2:VitroPrjDocStatus" minOccurs="0"/>
                <xsd:element ref="ns2:VitroBaseDocCode" minOccurs="0"/>
                <xsd:element ref="ns3:IconOverlay" minOccurs="0"/>
                <xsd:element ref="ns2:SPDocTitleTem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ercentComplete" ma:index="5" nillable="true" ma:displayName="% завершения" ma:internalName="PercentComplete" ma:percentage="TRUE">
      <xsd:simpleType>
        <xsd:restriction base="dms:Number">
          <xsd:maxInclusive value="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9d19c-4397-4966-8390-24542e2f9528" elementFormDefault="qualified">
    <xsd:import namespace="http://schemas.microsoft.com/office/2006/documentManagement/types"/>
    <xsd:import namespace="http://schemas.microsoft.com/office/infopath/2007/PartnerControls"/>
    <xsd:element name="VitroBaseFullName" ma:index="2" nillable="true" ma:displayName="Полное название" ma:internalName="VitroBaseFullName">
      <xsd:simpleType>
        <xsd:restriction base="dms:Note">
          <xsd:maxLength value="255"/>
        </xsd:restriction>
      </xsd:simpleType>
    </xsd:element>
    <xsd:element name="VitroBaseDocType" ma:index="3" nillable="true" ma:displayName="Тип документа" ma:list="{173b9a91-d714-42c7-9eb0-46f189903757}" ma:internalName="VitroBaseDocType" ma:readOnly="false" ma:showField="Title" ma:web="0b29d19c-4397-4966-8390-24542e2f9528">
      <xsd:simpleType>
        <xsd:restriction base="dms:Unknown"/>
      </xsd:simpleType>
    </xsd:element>
    <xsd:element name="VitroBaseDocName" ma:index="4" nillable="true" ma:displayName="Обозначение документа" ma:internalName="VitroBaseDocName" ma:readOnly="false">
      <xsd:simpleType>
        <xsd:restriction base="dms:Unknown"/>
      </xsd:simpleType>
    </xsd:element>
    <xsd:element name="VitroPrjDocStatus" ma:index="6" nillable="true" ma:displayName="Статус согласования" ma:list="{cd8bd27a-2b6e-4e39-996e-e1fa0bbe5b66}" ma:internalName="VitroPrjDocStatus" ma:readOnly="false" ma:showField="Title" ma:web="0b29d19c-4397-4966-8390-24542e2f9528">
      <xsd:simpleType>
        <xsd:restriction base="dms:Unknown"/>
      </xsd:simpleType>
    </xsd:element>
    <xsd:element name="VitroBaseDocCode" ma:index="7" nillable="true" ma:displayName="Шифр документа" ma:internalName="VitroBaseDocCode" ma:readOnly="false">
      <xsd:simpleType>
        <xsd:restriction base="dms:Unknown"/>
      </xsd:simpleType>
    </xsd:element>
    <xsd:element name="SPDocTitleTemp" ma:index="17" nillable="true" ma:displayName="SPDocTitleTemp" ma:internalName="SPDocTitleTem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Тип контента"/>
        <xsd:element ref="dc:title" minOccurs="0" maxOccurs="1" ma:displayName="Название"/>
        <xsd:element ref="dc:subject" minOccurs="0" maxOccurs="1"/>
        <xsd:element ref="dc:description" minOccurs="0" maxOccurs="1" ma:index="16" ma:displayName="Заметки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590DC3-B589-43E9-A2AB-4CD816B9A868}">
  <ds:schemaRefs>
    <ds:schemaRef ds:uri="http://purl.org/dc/dcmitype/"/>
    <ds:schemaRef ds:uri="http://schemas.microsoft.com/sharepoint/v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0b29d19c-4397-4966-8390-24542e2f9528"/>
    <ds:schemaRef ds:uri="http://schemas.microsoft.com/sharepoint/v3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0647F8-4815-46BE-B54E-2D25FBA9AF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C5630-5B63-461C-B311-07B99A2B3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b29d19c-4397-4966-8390-24542e2f952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Расчеты заземления</vt:lpstr>
      <vt:lpstr>Вывод на печать</vt:lpstr>
      <vt:lpstr>Лист1</vt:lpstr>
      <vt:lpstr>Грунты</vt:lpstr>
      <vt:lpstr>Климатические зоны</vt:lpstr>
      <vt:lpstr>Коэф.исп.</vt:lpstr>
      <vt:lpstr>d</vt:lpstr>
      <vt:lpstr>H</vt:lpstr>
      <vt:lpstr>lver</vt:lpstr>
      <vt:lpstr>lver1</vt:lpstr>
      <vt:lpstr>n</vt:lpstr>
      <vt:lpstr>Rд</vt:lpstr>
      <vt:lpstr>t</vt:lpstr>
      <vt:lpstr>Tsr</vt:lpstr>
      <vt:lpstr>zona</vt:lpstr>
      <vt:lpstr>ρ1</vt:lpstr>
      <vt:lpstr>ρ2</vt:lpstr>
      <vt:lpstr>Сопротивление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Gerasimov Valentin</dc:creator>
  <cp:lastModifiedBy>Potapov, Yuriy</cp:lastModifiedBy>
  <cp:lastPrinted>2018-12-10T09:02:36Z</cp:lastPrinted>
  <dcterms:created xsi:type="dcterms:W3CDTF">2014-07-23T08:31:09Z</dcterms:created>
  <dcterms:modified xsi:type="dcterms:W3CDTF">2022-07-08T08:39:07Z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0x010100DBAC1E2809B5DE4B8E384D94DC8B1D8B008E865033965E9245A10784962288DB1D</vt:lpwstr>
  </property>
  <property fmtid="{D5CDD505-2E9C-101B-9397-08002B2CF9AE}" pid="3" name="_MarkAsFinal">
    <vt:bool>false</vt:bool>
  </property>
</Properties>
</file>